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面试入围" sheetId="2" r:id="rId1"/>
  </sheets>
  <definedNames>
    <definedName name="成绩" localSheetId="0">面试入围!$F$4:$F$330</definedName>
    <definedName name="成绩">#REF!</definedName>
    <definedName name="岗位" localSheetId="0">面试入围!$D$4:$D$330</definedName>
    <definedName name="岗位">#REF!</definedName>
  </definedNames>
  <calcPr calcId="144525"/>
</workbook>
</file>

<file path=xl/sharedStrings.xml><?xml version="1.0" encoding="utf-8"?>
<sst xmlns="http://schemas.openxmlformats.org/spreadsheetml/2006/main" count="667" uniqueCount="56">
  <si>
    <t>附件</t>
  </si>
  <si>
    <t>2020娄底市直中小学公开招聘教师及教辅工作人员
入围面试人员名单</t>
  </si>
  <si>
    <t>序号</t>
  </si>
  <si>
    <t>姓名</t>
  </si>
  <si>
    <t>性别</t>
  </si>
  <si>
    <t>报考岗位</t>
  </si>
  <si>
    <t>准考证号</t>
  </si>
  <si>
    <t>成绩</t>
  </si>
  <si>
    <t>是否入围面试</t>
  </si>
  <si>
    <t>1001_中职语文</t>
  </si>
  <si>
    <t>是</t>
  </si>
  <si>
    <t>1002_中职数学</t>
  </si>
  <si>
    <t>1003_中职英语</t>
  </si>
  <si>
    <t>1004_中职心理学</t>
  </si>
  <si>
    <t>1005_中职政治</t>
  </si>
  <si>
    <t>1006_中职历史</t>
  </si>
  <si>
    <t>1008_中职体育</t>
  </si>
  <si>
    <t>1009_中职计算机</t>
  </si>
  <si>
    <t>1010_中职音乐</t>
  </si>
  <si>
    <t>1011_中职美术</t>
  </si>
  <si>
    <t>1012_中职护理</t>
  </si>
  <si>
    <t>1013_中职护理实验员</t>
  </si>
  <si>
    <t>1014_中职社会管理</t>
  </si>
  <si>
    <t>2001_高中数学</t>
  </si>
  <si>
    <t>100.00</t>
  </si>
  <si>
    <t>2002_高中地理</t>
  </si>
  <si>
    <t>2003_高中英语</t>
  </si>
  <si>
    <t>2004_电教馆计算机</t>
  </si>
  <si>
    <t>3001_初中语文（1）</t>
  </si>
  <si>
    <t>3002_初中语文（2）</t>
  </si>
  <si>
    <t>3003_初中数学（1）</t>
  </si>
  <si>
    <t>3004_初中数学（2）</t>
  </si>
  <si>
    <t>3005_初中英语</t>
  </si>
  <si>
    <t>颜杰</t>
  </si>
  <si>
    <t>3006_初中物理（1）</t>
  </si>
  <si>
    <t>3007_初中物理（2）</t>
  </si>
  <si>
    <t>3008_初中地理</t>
  </si>
  <si>
    <t>3009_初中历史</t>
  </si>
  <si>
    <t>3010_初中体育（1）</t>
  </si>
  <si>
    <t>3011_初中体育（2）</t>
  </si>
  <si>
    <t>4001_小学语文（1）</t>
  </si>
  <si>
    <t>刘舟</t>
  </si>
  <si>
    <t>4002_小学语文（2）</t>
  </si>
  <si>
    <t>4003_小学数学（1）</t>
  </si>
  <si>
    <t>4004_小学数学（2）</t>
  </si>
  <si>
    <t>4005_小学舞蹈</t>
  </si>
  <si>
    <t>4006_小学道德与法治</t>
  </si>
  <si>
    <t>4007_小学科学</t>
  </si>
  <si>
    <t>4008_小学美术（书法）</t>
  </si>
  <si>
    <t>4009_小学美术（中国画）</t>
  </si>
  <si>
    <t>4010_小学体育（1）</t>
  </si>
  <si>
    <t>4011_小学体育（2）</t>
  </si>
  <si>
    <t>4012_小学美术</t>
  </si>
  <si>
    <t>4013_小学音乐</t>
  </si>
  <si>
    <t>4014_小学英语</t>
  </si>
  <si>
    <t>4015_小学信息技术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</si>
</sst>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8"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sz val="11"/>
      <color indexed="8"/>
      <name val="黑体"/>
      <charset val="134"/>
    </font>
    <font>
      <sz val="20"/>
      <color indexed="8"/>
      <name val="方正小标宋简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3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9" fillId="3" borderId="3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4" fillId="0" borderId="0"/>
  </cellStyleXfs>
  <cellXfs count="20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176" fontId="0" fillId="0" borderId="0" xfId="0" applyNumberFormat="1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0"/>
  <sheetViews>
    <sheetView tabSelected="1" workbookViewId="0">
      <selection activeCell="H156" sqref="H156"/>
    </sheetView>
  </sheetViews>
  <sheetFormatPr defaultColWidth="9" defaultRowHeight="13.5"/>
  <cols>
    <col min="1" max="1" width="5" style="3" customWidth="1"/>
    <col min="2" max="2" width="8.125" style="3" customWidth="1"/>
    <col min="3" max="3" width="5.625" style="3" customWidth="1"/>
    <col min="4" max="4" width="22.375" style="3" customWidth="1"/>
    <col min="5" max="5" width="12.5" style="3" customWidth="1"/>
    <col min="6" max="6" width="7.125" style="4" customWidth="1"/>
    <col min="7" max="7" width="11.625" style="3" customWidth="1"/>
    <col min="8" max="16384" width="9" style="3"/>
  </cols>
  <sheetData>
    <row r="1" ht="21.75" customHeight="1" spans="1:2">
      <c r="A1" s="5" t="s">
        <v>0</v>
      </c>
      <c r="B1" s="6"/>
    </row>
    <row r="2" ht="56.25" customHeight="1" spans="1:7">
      <c r="A2" s="7" t="s">
        <v>1</v>
      </c>
      <c r="B2" s="7"/>
      <c r="C2" s="7"/>
      <c r="D2" s="7"/>
      <c r="E2" s="7"/>
      <c r="F2" s="7"/>
      <c r="G2" s="7"/>
    </row>
    <row r="3" s="1" customFormat="1" ht="31.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</row>
    <row r="4" s="2" customFormat="1" ht="21" customHeight="1" spans="1:7">
      <c r="A4" s="11">
        <v>1</v>
      </c>
      <c r="B4" s="11" t="str">
        <f>"赵舒敏"</f>
        <v>赵舒敏</v>
      </c>
      <c r="C4" s="11" t="str">
        <f>"女"</f>
        <v>女</v>
      </c>
      <c r="D4" s="11" t="s">
        <v>9</v>
      </c>
      <c r="E4" s="11" t="str">
        <f>"20200100114"</f>
        <v>20200100114</v>
      </c>
      <c r="F4" s="12">
        <v>81</v>
      </c>
      <c r="G4" s="11" t="s">
        <v>10</v>
      </c>
    </row>
    <row r="5" s="2" customFormat="1" ht="21" customHeight="1" spans="1:7">
      <c r="A5" s="11">
        <v>2</v>
      </c>
      <c r="B5" s="11" t="str">
        <f>"李瑾"</f>
        <v>李瑾</v>
      </c>
      <c r="C5" s="11" t="str">
        <f>"女"</f>
        <v>女</v>
      </c>
      <c r="D5" s="11" t="s">
        <v>9</v>
      </c>
      <c r="E5" s="11" t="str">
        <f>"20200100101"</f>
        <v>20200100101</v>
      </c>
      <c r="F5" s="12">
        <v>80.1</v>
      </c>
      <c r="G5" s="11" t="s">
        <v>10</v>
      </c>
    </row>
    <row r="6" s="2" customFormat="1" ht="21" customHeight="1" spans="1:7">
      <c r="A6" s="11">
        <v>3</v>
      </c>
      <c r="B6" s="11" t="str">
        <f>"周登峰"</f>
        <v>周登峰</v>
      </c>
      <c r="C6" s="11" t="str">
        <f>"男"</f>
        <v>男</v>
      </c>
      <c r="D6" s="11" t="s">
        <v>11</v>
      </c>
      <c r="E6" s="11" t="str">
        <f>"20200200114"</f>
        <v>20200200114</v>
      </c>
      <c r="F6" s="12">
        <v>93.2</v>
      </c>
      <c r="G6" s="11" t="s">
        <v>10</v>
      </c>
    </row>
    <row r="7" s="2" customFormat="1" ht="21" customHeight="1" spans="1:7">
      <c r="A7" s="11">
        <v>4</v>
      </c>
      <c r="B7" s="11" t="str">
        <f>"彭小珊"</f>
        <v>彭小珊</v>
      </c>
      <c r="C7" s="11" t="str">
        <f t="shared" ref="C7:C18" si="0">"女"</f>
        <v>女</v>
      </c>
      <c r="D7" s="11" t="s">
        <v>11</v>
      </c>
      <c r="E7" s="11" t="str">
        <f>"20200200108"</f>
        <v>20200200108</v>
      </c>
      <c r="F7" s="12">
        <v>71.3</v>
      </c>
      <c r="G7" s="11" t="s">
        <v>10</v>
      </c>
    </row>
    <row r="8" s="2" customFormat="1" ht="21" customHeight="1" spans="1:7">
      <c r="A8" s="11">
        <v>5</v>
      </c>
      <c r="B8" s="11" t="str">
        <f>"李佩"</f>
        <v>李佩</v>
      </c>
      <c r="C8" s="11" t="str">
        <f t="shared" si="0"/>
        <v>女</v>
      </c>
      <c r="D8" s="11" t="s">
        <v>11</v>
      </c>
      <c r="E8" s="11" t="str">
        <f>"20200200102"</f>
        <v>20200200102</v>
      </c>
      <c r="F8" s="12">
        <v>68.9</v>
      </c>
      <c r="G8" s="11" t="s">
        <v>10</v>
      </c>
    </row>
    <row r="9" s="2" customFormat="1" ht="21" customHeight="1" spans="1:7">
      <c r="A9" s="11">
        <v>6</v>
      </c>
      <c r="B9" s="11" t="str">
        <f>"易利伊"</f>
        <v>易利伊</v>
      </c>
      <c r="C9" s="11" t="str">
        <f t="shared" si="0"/>
        <v>女</v>
      </c>
      <c r="D9" s="11" t="s">
        <v>11</v>
      </c>
      <c r="E9" s="11" t="str">
        <f>"20200200107"</f>
        <v>20200200107</v>
      </c>
      <c r="F9" s="12">
        <v>68</v>
      </c>
      <c r="G9" s="11" t="s">
        <v>10</v>
      </c>
    </row>
    <row r="10" s="2" customFormat="1" ht="21" customHeight="1" spans="1:7">
      <c r="A10" s="11">
        <v>7</v>
      </c>
      <c r="B10" s="13" t="str">
        <f>"戴晴"</f>
        <v>戴晴</v>
      </c>
      <c r="C10" s="13" t="str">
        <f t="shared" si="0"/>
        <v>女</v>
      </c>
      <c r="D10" s="11" t="s">
        <v>12</v>
      </c>
      <c r="E10" s="11" t="str">
        <f>"20200100303"</f>
        <v>20200100303</v>
      </c>
      <c r="F10" s="12">
        <v>86.6</v>
      </c>
      <c r="G10" s="11" t="s">
        <v>10</v>
      </c>
    </row>
    <row r="11" s="2" customFormat="1" ht="21" customHeight="1" spans="1:7">
      <c r="A11" s="11">
        <v>8</v>
      </c>
      <c r="B11" s="13" t="str">
        <f>"潘东方"</f>
        <v>潘东方</v>
      </c>
      <c r="C11" s="13" t="str">
        <f t="shared" si="0"/>
        <v>女</v>
      </c>
      <c r="D11" s="13" t="s">
        <v>12</v>
      </c>
      <c r="E11" s="11" t="str">
        <f>"20200100215"</f>
        <v>20200100215</v>
      </c>
      <c r="F11" s="12">
        <v>82.9</v>
      </c>
      <c r="G11" s="11" t="s">
        <v>10</v>
      </c>
    </row>
    <row r="12" s="2" customFormat="1" ht="21" customHeight="1" spans="1:7">
      <c r="A12" s="11">
        <v>9</v>
      </c>
      <c r="B12" s="11" t="str">
        <f>"段意瓶"</f>
        <v>段意瓶</v>
      </c>
      <c r="C12" s="11" t="str">
        <f t="shared" si="0"/>
        <v>女</v>
      </c>
      <c r="D12" s="11" t="s">
        <v>13</v>
      </c>
      <c r="E12" s="11" t="str">
        <f>"20200200308"</f>
        <v>20200200308</v>
      </c>
      <c r="F12" s="12">
        <v>71.7</v>
      </c>
      <c r="G12" s="11" t="s">
        <v>10</v>
      </c>
    </row>
    <row r="13" s="2" customFormat="1" ht="21" customHeight="1" spans="1:7">
      <c r="A13" s="11">
        <v>10</v>
      </c>
      <c r="B13" s="11" t="str">
        <f>"曾思超"</f>
        <v>曾思超</v>
      </c>
      <c r="C13" s="11" t="str">
        <f t="shared" si="0"/>
        <v>女</v>
      </c>
      <c r="D13" s="11" t="s">
        <v>13</v>
      </c>
      <c r="E13" s="11" t="str">
        <f>"20200200202"</f>
        <v>20200200202</v>
      </c>
      <c r="F13" s="12">
        <v>71.1</v>
      </c>
      <c r="G13" s="11" t="s">
        <v>10</v>
      </c>
    </row>
    <row r="14" s="2" customFormat="1" ht="21" customHeight="1" spans="1:7">
      <c r="A14" s="11">
        <v>11</v>
      </c>
      <c r="B14" s="11" t="str">
        <f>"赵平息"</f>
        <v>赵平息</v>
      </c>
      <c r="C14" s="11" t="str">
        <f t="shared" si="0"/>
        <v>女</v>
      </c>
      <c r="D14" s="11" t="s">
        <v>13</v>
      </c>
      <c r="E14" s="11" t="str">
        <f>"20200200201"</f>
        <v>20200200201</v>
      </c>
      <c r="F14" s="12">
        <v>70.5</v>
      </c>
      <c r="G14" s="11" t="s">
        <v>10</v>
      </c>
    </row>
    <row r="15" s="2" customFormat="1" ht="21" customHeight="1" spans="1:7">
      <c r="A15" s="11">
        <v>12</v>
      </c>
      <c r="B15" s="11" t="str">
        <f>"谭林"</f>
        <v>谭林</v>
      </c>
      <c r="C15" s="11" t="str">
        <f t="shared" si="0"/>
        <v>女</v>
      </c>
      <c r="D15" s="11" t="s">
        <v>13</v>
      </c>
      <c r="E15" s="11" t="str">
        <f>"20200200302"</f>
        <v>20200200302</v>
      </c>
      <c r="F15" s="12">
        <v>69.1</v>
      </c>
      <c r="G15" s="11" t="s">
        <v>10</v>
      </c>
    </row>
    <row r="16" s="2" customFormat="1" ht="21" customHeight="1" spans="1:7">
      <c r="A16" s="11">
        <v>13</v>
      </c>
      <c r="B16" s="11" t="str">
        <f>"肖理丽"</f>
        <v>肖理丽</v>
      </c>
      <c r="C16" s="11" t="str">
        <f t="shared" si="0"/>
        <v>女</v>
      </c>
      <c r="D16" s="11" t="s">
        <v>14</v>
      </c>
      <c r="E16" s="11" t="str">
        <f>"20200100420"</f>
        <v>20200100420</v>
      </c>
      <c r="F16" s="12">
        <v>89</v>
      </c>
      <c r="G16" s="11" t="s">
        <v>10</v>
      </c>
    </row>
    <row r="17" s="2" customFormat="1" ht="21" customHeight="1" spans="1:7">
      <c r="A17" s="11">
        <v>14</v>
      </c>
      <c r="B17" s="11" t="str">
        <f>"曾冰朗"</f>
        <v>曾冰朗</v>
      </c>
      <c r="C17" s="11" t="str">
        <f t="shared" si="0"/>
        <v>女</v>
      </c>
      <c r="D17" s="11" t="s">
        <v>15</v>
      </c>
      <c r="E17" s="11" t="str">
        <f>"20200200402"</f>
        <v>20200200402</v>
      </c>
      <c r="F17" s="12">
        <v>92.2</v>
      </c>
      <c r="G17" s="11" t="s">
        <v>10</v>
      </c>
    </row>
    <row r="18" s="2" customFormat="1" ht="21" customHeight="1" spans="1:7">
      <c r="A18" s="11">
        <v>15</v>
      </c>
      <c r="B18" s="11" t="str">
        <f>"曾曦"</f>
        <v>曾曦</v>
      </c>
      <c r="C18" s="11" t="str">
        <f t="shared" si="0"/>
        <v>女</v>
      </c>
      <c r="D18" s="11" t="s">
        <v>15</v>
      </c>
      <c r="E18" s="11" t="str">
        <f>"20200200404"</f>
        <v>20200200404</v>
      </c>
      <c r="F18" s="12">
        <v>89.5</v>
      </c>
      <c r="G18" s="11" t="s">
        <v>10</v>
      </c>
    </row>
    <row r="19" s="2" customFormat="1" ht="21" customHeight="1" spans="1:7">
      <c r="A19" s="11">
        <v>16</v>
      </c>
      <c r="B19" s="11" t="str">
        <f>"于思海"</f>
        <v>于思海</v>
      </c>
      <c r="C19" s="11" t="str">
        <f>"男"</f>
        <v>男</v>
      </c>
      <c r="D19" s="11" t="s">
        <v>16</v>
      </c>
      <c r="E19" s="11" t="str">
        <f>"20200200606"</f>
        <v>20200200606</v>
      </c>
      <c r="F19" s="12">
        <v>74.8</v>
      </c>
      <c r="G19" s="11" t="s">
        <v>10</v>
      </c>
    </row>
    <row r="20" s="2" customFormat="1" ht="21" customHeight="1" spans="1:7">
      <c r="A20" s="11">
        <v>17</v>
      </c>
      <c r="B20" s="11" t="str">
        <f>"周兴华"</f>
        <v>周兴华</v>
      </c>
      <c r="C20" s="11" t="str">
        <f>"男"</f>
        <v>男</v>
      </c>
      <c r="D20" s="11" t="s">
        <v>16</v>
      </c>
      <c r="E20" s="11" t="str">
        <f>"20200200601"</f>
        <v>20200200601</v>
      </c>
      <c r="F20" s="12">
        <v>71.6</v>
      </c>
      <c r="G20" s="11" t="s">
        <v>10</v>
      </c>
    </row>
    <row r="21" s="2" customFormat="1" ht="21" customHeight="1" spans="1:7">
      <c r="A21" s="11">
        <v>18</v>
      </c>
      <c r="B21" s="11" t="str">
        <f>"洪潇"</f>
        <v>洪潇</v>
      </c>
      <c r="C21" s="11" t="str">
        <f>"女"</f>
        <v>女</v>
      </c>
      <c r="D21" s="11" t="s">
        <v>16</v>
      </c>
      <c r="E21" s="11" t="str">
        <f>"20200200605"</f>
        <v>20200200605</v>
      </c>
      <c r="F21" s="12">
        <v>69.8</v>
      </c>
      <c r="G21" s="11" t="s">
        <v>10</v>
      </c>
    </row>
    <row r="22" s="2" customFormat="1" ht="21" customHeight="1" spans="1:7">
      <c r="A22" s="11">
        <v>19</v>
      </c>
      <c r="B22" s="14" t="str">
        <f>"陈瑶"</f>
        <v>陈瑶</v>
      </c>
      <c r="C22" s="14" t="str">
        <f>"男"</f>
        <v>男</v>
      </c>
      <c r="D22" s="14" t="s">
        <v>17</v>
      </c>
      <c r="E22" s="14" t="str">
        <f>"20200200704"</f>
        <v>20200200704</v>
      </c>
      <c r="F22" s="15">
        <v>81.4</v>
      </c>
      <c r="G22" s="11" t="s">
        <v>10</v>
      </c>
    </row>
    <row r="23" s="2" customFormat="1" ht="21" customHeight="1" spans="1:7">
      <c r="A23" s="11">
        <v>20</v>
      </c>
      <c r="B23" s="14" t="str">
        <f>"黎梦婷"</f>
        <v>黎梦婷</v>
      </c>
      <c r="C23" s="14" t="str">
        <f>"女"</f>
        <v>女</v>
      </c>
      <c r="D23" s="14" t="s">
        <v>17</v>
      </c>
      <c r="E23" s="14" t="str">
        <f>"20200200707"</f>
        <v>20200200707</v>
      </c>
      <c r="F23" s="15">
        <v>74.3</v>
      </c>
      <c r="G23" s="11" t="s">
        <v>10</v>
      </c>
    </row>
    <row r="24" s="2" customFormat="1" ht="21" customHeight="1" spans="1:7">
      <c r="A24" s="11">
        <v>21</v>
      </c>
      <c r="B24" s="11" t="str">
        <f>"朱沛洁"</f>
        <v>朱沛洁</v>
      </c>
      <c r="C24" s="11" t="str">
        <f>"女"</f>
        <v>女</v>
      </c>
      <c r="D24" s="11" t="s">
        <v>18</v>
      </c>
      <c r="E24" s="11" t="str">
        <f>"20200200806"</f>
        <v>20200200806</v>
      </c>
      <c r="F24" s="12">
        <v>82.3</v>
      </c>
      <c r="G24" s="11" t="s">
        <v>10</v>
      </c>
    </row>
    <row r="25" s="2" customFormat="1" ht="21" customHeight="1" spans="1:7">
      <c r="A25" s="11">
        <v>22</v>
      </c>
      <c r="B25" s="11" t="str">
        <f>"庞爽"</f>
        <v>庞爽</v>
      </c>
      <c r="C25" s="11" t="str">
        <f>"男"</f>
        <v>男</v>
      </c>
      <c r="D25" s="11" t="s">
        <v>18</v>
      </c>
      <c r="E25" s="11" t="str">
        <f>"20200200810"</f>
        <v>20200200810</v>
      </c>
      <c r="F25" s="12">
        <v>82.1</v>
      </c>
      <c r="G25" s="11" t="s">
        <v>10</v>
      </c>
    </row>
    <row r="26" s="2" customFormat="1" ht="21" customHeight="1" spans="1:7">
      <c r="A26" s="11">
        <v>23</v>
      </c>
      <c r="B26" s="11" t="str">
        <f>"康宇"</f>
        <v>康宇</v>
      </c>
      <c r="C26" s="11" t="str">
        <f>"女"</f>
        <v>女</v>
      </c>
      <c r="D26" s="11" t="s">
        <v>19</v>
      </c>
      <c r="E26" s="11" t="str">
        <f>"20200201008"</f>
        <v>20200201008</v>
      </c>
      <c r="F26" s="12">
        <v>79.2</v>
      </c>
      <c r="G26" s="11" t="s">
        <v>10</v>
      </c>
    </row>
    <row r="27" s="2" customFormat="1" ht="21" customHeight="1" spans="1:7">
      <c r="A27" s="11">
        <v>24</v>
      </c>
      <c r="B27" s="11" t="str">
        <f>"罗鸼"</f>
        <v>罗鸼</v>
      </c>
      <c r="C27" s="11" t="str">
        <f>"女"</f>
        <v>女</v>
      </c>
      <c r="D27" s="11" t="s">
        <v>19</v>
      </c>
      <c r="E27" s="11" t="str">
        <f>"20200201010"</f>
        <v>20200201010</v>
      </c>
      <c r="F27" s="12">
        <v>73.7</v>
      </c>
      <c r="G27" s="11" t="s">
        <v>10</v>
      </c>
    </row>
    <row r="28" s="2" customFormat="1" ht="21" customHeight="1" spans="1:7">
      <c r="A28" s="11">
        <v>25</v>
      </c>
      <c r="B28" s="11" t="str">
        <f>"张露露"</f>
        <v>张露露</v>
      </c>
      <c r="C28" s="11" t="str">
        <f>"女"</f>
        <v>女</v>
      </c>
      <c r="D28" s="11" t="s">
        <v>19</v>
      </c>
      <c r="E28" s="11" t="str">
        <f>"20200201011"</f>
        <v>20200201011</v>
      </c>
      <c r="F28" s="12">
        <v>70.6</v>
      </c>
      <c r="G28" s="11" t="s">
        <v>10</v>
      </c>
    </row>
    <row r="29" s="2" customFormat="1" ht="21" customHeight="1" spans="1:7">
      <c r="A29" s="11">
        <v>26</v>
      </c>
      <c r="B29" s="11" t="str">
        <f>"邵春"</f>
        <v>邵春</v>
      </c>
      <c r="C29" s="11" t="str">
        <f t="shared" ref="C29:C34" si="1">"女"</f>
        <v>女</v>
      </c>
      <c r="D29" s="11" t="s">
        <v>20</v>
      </c>
      <c r="E29" s="11" t="str">
        <f>"20200201127"</f>
        <v>20200201127</v>
      </c>
      <c r="F29" s="12">
        <v>83.6</v>
      </c>
      <c r="G29" s="11" t="s">
        <v>10</v>
      </c>
    </row>
    <row r="30" s="2" customFormat="1" ht="21" customHeight="1" spans="1:7">
      <c r="A30" s="11">
        <v>27</v>
      </c>
      <c r="B30" s="11" t="str">
        <f>"肖琳"</f>
        <v>肖琳</v>
      </c>
      <c r="C30" s="11" t="str">
        <f t="shared" si="1"/>
        <v>女</v>
      </c>
      <c r="D30" s="11" t="s">
        <v>20</v>
      </c>
      <c r="E30" s="11" t="str">
        <f>"20200201228"</f>
        <v>20200201228</v>
      </c>
      <c r="F30" s="12">
        <v>81.2</v>
      </c>
      <c r="G30" s="11" t="s">
        <v>10</v>
      </c>
    </row>
    <row r="31" s="2" customFormat="1" ht="21" customHeight="1" spans="1:7">
      <c r="A31" s="11">
        <v>28</v>
      </c>
      <c r="B31" s="11" t="str">
        <f>"杨敏"</f>
        <v>杨敏</v>
      </c>
      <c r="C31" s="11" t="str">
        <f t="shared" si="1"/>
        <v>女</v>
      </c>
      <c r="D31" s="11" t="s">
        <v>20</v>
      </c>
      <c r="E31" s="11" t="str">
        <f>"20200201304"</f>
        <v>20200201304</v>
      </c>
      <c r="F31" s="12">
        <v>80.9</v>
      </c>
      <c r="G31" s="11" t="s">
        <v>10</v>
      </c>
    </row>
    <row r="32" s="2" customFormat="1" ht="21" customHeight="1" spans="1:7">
      <c r="A32" s="11">
        <v>29</v>
      </c>
      <c r="B32" s="11" t="str">
        <f>"陈媛"</f>
        <v>陈媛</v>
      </c>
      <c r="C32" s="11" t="str">
        <f t="shared" si="1"/>
        <v>女</v>
      </c>
      <c r="D32" s="11" t="s">
        <v>20</v>
      </c>
      <c r="E32" s="11" t="str">
        <f>"20200201313"</f>
        <v>20200201313</v>
      </c>
      <c r="F32" s="12">
        <v>80.7</v>
      </c>
      <c r="G32" s="11" t="s">
        <v>10</v>
      </c>
    </row>
    <row r="33" s="2" customFormat="1" ht="21" customHeight="1" spans="1:7">
      <c r="A33" s="11">
        <v>30</v>
      </c>
      <c r="B33" s="11" t="str">
        <f>"童彬花"</f>
        <v>童彬花</v>
      </c>
      <c r="C33" s="11" t="str">
        <f t="shared" si="1"/>
        <v>女</v>
      </c>
      <c r="D33" s="11" t="s">
        <v>20</v>
      </c>
      <c r="E33" s="11" t="str">
        <f>"20200201113"</f>
        <v>20200201113</v>
      </c>
      <c r="F33" s="12">
        <v>80.6</v>
      </c>
      <c r="G33" s="11" t="s">
        <v>10</v>
      </c>
    </row>
    <row r="34" s="2" customFormat="1" ht="21" customHeight="1" spans="1:7">
      <c r="A34" s="11">
        <v>31</v>
      </c>
      <c r="B34" s="11" t="str">
        <f>"彭琼卓"</f>
        <v>彭琼卓</v>
      </c>
      <c r="C34" s="11" t="str">
        <f t="shared" si="1"/>
        <v>女</v>
      </c>
      <c r="D34" s="11" t="s">
        <v>20</v>
      </c>
      <c r="E34" s="11" t="str">
        <f>"20200201106"</f>
        <v>20200201106</v>
      </c>
      <c r="F34" s="12">
        <v>78.5</v>
      </c>
      <c r="G34" s="11" t="s">
        <v>10</v>
      </c>
    </row>
    <row r="35" s="2" customFormat="1" ht="21" customHeight="1" spans="1:7">
      <c r="A35" s="11">
        <v>32</v>
      </c>
      <c r="B35" s="11" t="str">
        <f>"杨佩"</f>
        <v>杨佩</v>
      </c>
      <c r="C35" s="11" t="str">
        <f>"男"</f>
        <v>男</v>
      </c>
      <c r="D35" s="11" t="s">
        <v>20</v>
      </c>
      <c r="E35" s="11" t="str">
        <f>"20200201126"</f>
        <v>20200201126</v>
      </c>
      <c r="F35" s="12">
        <v>78.4</v>
      </c>
      <c r="G35" s="11" t="s">
        <v>10</v>
      </c>
    </row>
    <row r="36" s="2" customFormat="1" ht="21" customHeight="1" spans="1:7">
      <c r="A36" s="11">
        <v>33</v>
      </c>
      <c r="B36" s="11" t="str">
        <f>"贺晴"</f>
        <v>贺晴</v>
      </c>
      <c r="C36" s="11" t="str">
        <f t="shared" ref="C36:C43" si="2">"女"</f>
        <v>女</v>
      </c>
      <c r="D36" s="11" t="s">
        <v>20</v>
      </c>
      <c r="E36" s="11" t="str">
        <f>"20200201129"</f>
        <v>20200201129</v>
      </c>
      <c r="F36" s="12">
        <v>77.3</v>
      </c>
      <c r="G36" s="11" t="s">
        <v>10</v>
      </c>
    </row>
    <row r="37" s="2" customFormat="1" ht="21" customHeight="1" spans="1:7">
      <c r="A37" s="11">
        <v>34</v>
      </c>
      <c r="B37" s="11" t="str">
        <f>"吴维"</f>
        <v>吴维</v>
      </c>
      <c r="C37" s="11" t="str">
        <f t="shared" si="2"/>
        <v>女</v>
      </c>
      <c r="D37" s="11" t="s">
        <v>20</v>
      </c>
      <c r="E37" s="11" t="str">
        <f>"20200201327"</f>
        <v>20200201327</v>
      </c>
      <c r="F37" s="12">
        <v>77</v>
      </c>
      <c r="G37" s="11" t="s">
        <v>10</v>
      </c>
    </row>
    <row r="38" s="2" customFormat="1" ht="21" customHeight="1" spans="1:7">
      <c r="A38" s="11">
        <v>35</v>
      </c>
      <c r="B38" s="11" t="str">
        <f>"赵颍"</f>
        <v>赵颍</v>
      </c>
      <c r="C38" s="11" t="str">
        <f t="shared" si="2"/>
        <v>女</v>
      </c>
      <c r="D38" s="11" t="s">
        <v>20</v>
      </c>
      <c r="E38" s="11" t="str">
        <f>"20200201102"</f>
        <v>20200201102</v>
      </c>
      <c r="F38" s="12">
        <v>76.8</v>
      </c>
      <c r="G38" s="11" t="s">
        <v>10</v>
      </c>
    </row>
    <row r="39" s="2" customFormat="1" ht="21" customHeight="1" spans="1:7">
      <c r="A39" s="11">
        <v>36</v>
      </c>
      <c r="B39" s="11" t="str">
        <f>"邵欢"</f>
        <v>邵欢</v>
      </c>
      <c r="C39" s="11" t="str">
        <f t="shared" si="2"/>
        <v>女</v>
      </c>
      <c r="D39" s="11" t="s">
        <v>20</v>
      </c>
      <c r="E39" s="11" t="str">
        <f>"20200201305"</f>
        <v>20200201305</v>
      </c>
      <c r="F39" s="12">
        <v>76.8</v>
      </c>
      <c r="G39" s="11" t="s">
        <v>10</v>
      </c>
    </row>
    <row r="40" s="2" customFormat="1" ht="21" customHeight="1" spans="1:7">
      <c r="A40" s="11">
        <v>37</v>
      </c>
      <c r="B40" s="11" t="str">
        <f>"曾祥超"</f>
        <v>曾祥超</v>
      </c>
      <c r="C40" s="11" t="str">
        <f t="shared" si="2"/>
        <v>女</v>
      </c>
      <c r="D40" s="11" t="s">
        <v>20</v>
      </c>
      <c r="E40" s="11" t="str">
        <f>"20200201323"</f>
        <v>20200201323</v>
      </c>
      <c r="F40" s="12">
        <v>76.7</v>
      </c>
      <c r="G40" s="11" t="s">
        <v>10</v>
      </c>
    </row>
    <row r="41" s="2" customFormat="1" ht="21" customHeight="1" spans="1:7">
      <c r="A41" s="11">
        <v>38</v>
      </c>
      <c r="B41" s="11" t="str">
        <f>"贺永艳"</f>
        <v>贺永艳</v>
      </c>
      <c r="C41" s="11" t="str">
        <f t="shared" si="2"/>
        <v>女</v>
      </c>
      <c r="D41" s="11" t="s">
        <v>21</v>
      </c>
      <c r="E41" s="11" t="str">
        <f>"20200201703"</f>
        <v>20200201703</v>
      </c>
      <c r="F41" s="12">
        <v>80.5</v>
      </c>
      <c r="G41" s="11" t="s">
        <v>10</v>
      </c>
    </row>
    <row r="42" s="2" customFormat="1" ht="21" customHeight="1" spans="1:7">
      <c r="A42" s="11">
        <v>39</v>
      </c>
      <c r="B42" s="11" t="str">
        <f>"刘湘湛"</f>
        <v>刘湘湛</v>
      </c>
      <c r="C42" s="11" t="str">
        <f t="shared" si="2"/>
        <v>女</v>
      </c>
      <c r="D42" s="11" t="s">
        <v>21</v>
      </c>
      <c r="E42" s="11" t="str">
        <f>"20200201607"</f>
        <v>20200201607</v>
      </c>
      <c r="F42" s="12">
        <v>80.1</v>
      </c>
      <c r="G42" s="11" t="s">
        <v>10</v>
      </c>
    </row>
    <row r="43" s="2" customFormat="1" ht="21" customHeight="1" spans="1:7">
      <c r="A43" s="11">
        <v>40</v>
      </c>
      <c r="B43" s="11" t="str">
        <f>"谭周清子"</f>
        <v>谭周清子</v>
      </c>
      <c r="C43" s="11" t="str">
        <f t="shared" si="2"/>
        <v>女</v>
      </c>
      <c r="D43" s="11" t="s">
        <v>22</v>
      </c>
      <c r="E43" s="11" t="str">
        <f>"20200100501"</f>
        <v>20200100501</v>
      </c>
      <c r="F43" s="12">
        <v>87.4</v>
      </c>
      <c r="G43" s="11" t="s">
        <v>10</v>
      </c>
    </row>
    <row r="44" s="2" customFormat="1" ht="21" customHeight="1" spans="1:7">
      <c r="A44" s="11">
        <v>41</v>
      </c>
      <c r="B44" s="11" t="str">
        <f>"陈瀚宇"</f>
        <v>陈瀚宇</v>
      </c>
      <c r="C44" s="11" t="str">
        <f t="shared" ref="C44:C49" si="3">"男"</f>
        <v>男</v>
      </c>
      <c r="D44" s="11" t="s">
        <v>22</v>
      </c>
      <c r="E44" s="11" t="str">
        <f>"20200100508"</f>
        <v>20200100508</v>
      </c>
      <c r="F44" s="12">
        <v>82</v>
      </c>
      <c r="G44" s="11" t="s">
        <v>10</v>
      </c>
    </row>
    <row r="45" s="2" customFormat="1" ht="21" customHeight="1" spans="1:7">
      <c r="A45" s="11">
        <v>42</v>
      </c>
      <c r="B45" s="11" t="str">
        <f>"张洋"</f>
        <v>张洋</v>
      </c>
      <c r="C45" s="11" t="str">
        <f t="shared" si="3"/>
        <v>男</v>
      </c>
      <c r="D45" s="11" t="s">
        <v>23</v>
      </c>
      <c r="E45" s="11" t="str">
        <f>"20200201804"</f>
        <v>20200201804</v>
      </c>
      <c r="F45" s="16" t="s">
        <v>24</v>
      </c>
      <c r="G45" s="11" t="s">
        <v>10</v>
      </c>
    </row>
    <row r="46" s="2" customFormat="1" ht="21" customHeight="1" spans="1:7">
      <c r="A46" s="11">
        <v>43</v>
      </c>
      <c r="B46" s="11" t="str">
        <f>"罗文华"</f>
        <v>罗文华</v>
      </c>
      <c r="C46" s="11" t="str">
        <f t="shared" si="3"/>
        <v>男</v>
      </c>
      <c r="D46" s="11" t="s">
        <v>23</v>
      </c>
      <c r="E46" s="11" t="str">
        <f>"20200201803"</f>
        <v>20200201803</v>
      </c>
      <c r="F46" s="12">
        <v>94.5</v>
      </c>
      <c r="G46" s="11" t="s">
        <v>10</v>
      </c>
    </row>
    <row r="47" s="2" customFormat="1" ht="21" customHeight="1" spans="1:7">
      <c r="A47" s="11">
        <v>44</v>
      </c>
      <c r="B47" s="11" t="str">
        <f>"蔡琪"</f>
        <v>蔡琪</v>
      </c>
      <c r="C47" s="11" t="str">
        <f t="shared" si="3"/>
        <v>男</v>
      </c>
      <c r="D47" s="11" t="s">
        <v>23</v>
      </c>
      <c r="E47" s="11" t="str">
        <f>"20200201827"</f>
        <v>20200201827</v>
      </c>
      <c r="F47" s="12">
        <v>94.1</v>
      </c>
      <c r="G47" s="11" t="s">
        <v>10</v>
      </c>
    </row>
    <row r="48" s="2" customFormat="1" ht="21" customHeight="1" spans="1:7">
      <c r="A48" s="11">
        <v>45</v>
      </c>
      <c r="B48" s="13" t="str">
        <f>"周若其"</f>
        <v>周若其</v>
      </c>
      <c r="C48" s="13" t="str">
        <f t="shared" si="3"/>
        <v>男</v>
      </c>
      <c r="D48" s="13" t="s">
        <v>23</v>
      </c>
      <c r="E48" s="11" t="str">
        <f>"20200201801"</f>
        <v>20200201801</v>
      </c>
      <c r="F48" s="12">
        <v>85.7</v>
      </c>
      <c r="G48" s="11" t="s">
        <v>10</v>
      </c>
    </row>
    <row r="49" s="2" customFormat="1" ht="21" customHeight="1" spans="1:7">
      <c r="A49" s="11">
        <v>46</v>
      </c>
      <c r="B49" s="11" t="str">
        <f>"曾磊"</f>
        <v>曾磊</v>
      </c>
      <c r="C49" s="11" t="str">
        <f t="shared" si="3"/>
        <v>男</v>
      </c>
      <c r="D49" s="11" t="s">
        <v>25</v>
      </c>
      <c r="E49" s="11" t="str">
        <f>"20200201908"</f>
        <v>20200201908</v>
      </c>
      <c r="F49" s="12">
        <v>80.5</v>
      </c>
      <c r="G49" s="11" t="s">
        <v>10</v>
      </c>
    </row>
    <row r="50" s="2" customFormat="1" ht="21" customHeight="1" spans="1:7">
      <c r="A50" s="11">
        <v>47</v>
      </c>
      <c r="B50" s="13" t="str">
        <f>"李逸舒"</f>
        <v>李逸舒</v>
      </c>
      <c r="C50" s="13" t="str">
        <f>"女"</f>
        <v>女</v>
      </c>
      <c r="D50" s="11" t="s">
        <v>25</v>
      </c>
      <c r="E50" s="11" t="str">
        <f>"20200201904"</f>
        <v>20200201904</v>
      </c>
      <c r="F50" s="12">
        <v>69.2</v>
      </c>
      <c r="G50" s="11" t="s">
        <v>10</v>
      </c>
    </row>
    <row r="51" s="2" customFormat="1" ht="21" customHeight="1" spans="1:7">
      <c r="A51" s="11">
        <v>48</v>
      </c>
      <c r="B51" s="11" t="str">
        <f>"朱玲珑"</f>
        <v>朱玲珑</v>
      </c>
      <c r="C51" s="11" t="str">
        <f>"女"</f>
        <v>女</v>
      </c>
      <c r="D51" s="11" t="s">
        <v>26</v>
      </c>
      <c r="E51" s="11" t="str">
        <f>"20200100603"</f>
        <v>20200100603</v>
      </c>
      <c r="F51" s="12">
        <v>91.8</v>
      </c>
      <c r="G51" s="11" t="s">
        <v>10</v>
      </c>
    </row>
    <row r="52" s="2" customFormat="1" ht="21" customHeight="1" spans="1:7">
      <c r="A52" s="11">
        <v>49</v>
      </c>
      <c r="B52" s="11" t="str">
        <f>"李怡"</f>
        <v>李怡</v>
      </c>
      <c r="C52" s="11" t="str">
        <f>"女"</f>
        <v>女</v>
      </c>
      <c r="D52" s="11" t="s">
        <v>26</v>
      </c>
      <c r="E52" s="11" t="str">
        <f>"20200100717"</f>
        <v>20200100717</v>
      </c>
      <c r="F52" s="12">
        <v>89.7</v>
      </c>
      <c r="G52" s="11" t="s">
        <v>10</v>
      </c>
    </row>
    <row r="53" s="2" customFormat="1" ht="21" customHeight="1" spans="1:7">
      <c r="A53" s="11">
        <v>50</v>
      </c>
      <c r="B53" s="11" t="str">
        <f>"陈湘"</f>
        <v>陈湘</v>
      </c>
      <c r="C53" s="11" t="str">
        <f>"女"</f>
        <v>女</v>
      </c>
      <c r="D53" s="11" t="s">
        <v>27</v>
      </c>
      <c r="E53" s="11" t="str">
        <f>"20200202028"</f>
        <v>20200202028</v>
      </c>
      <c r="F53" s="12">
        <v>86.4</v>
      </c>
      <c r="G53" s="11" t="s">
        <v>10</v>
      </c>
    </row>
    <row r="54" s="2" customFormat="1" ht="21" customHeight="1" spans="1:7">
      <c r="A54" s="11">
        <v>51</v>
      </c>
      <c r="B54" s="11" t="str">
        <f>"朱凌峰"</f>
        <v>朱凌峰</v>
      </c>
      <c r="C54" s="11" t="str">
        <f>"男"</f>
        <v>男</v>
      </c>
      <c r="D54" s="11" t="s">
        <v>27</v>
      </c>
      <c r="E54" s="11" t="str">
        <f>"20200202017"</f>
        <v>20200202017</v>
      </c>
      <c r="F54" s="12">
        <v>80.2</v>
      </c>
      <c r="G54" s="11" t="s">
        <v>10</v>
      </c>
    </row>
    <row r="55" s="2" customFormat="1" ht="21" customHeight="1" spans="1:7">
      <c r="A55" s="11">
        <v>52</v>
      </c>
      <c r="B55" s="11" t="str">
        <f>"肖洪霞"</f>
        <v>肖洪霞</v>
      </c>
      <c r="C55" s="11" t="str">
        <f>"女"</f>
        <v>女</v>
      </c>
      <c r="D55" s="11" t="s">
        <v>27</v>
      </c>
      <c r="E55" s="11" t="str">
        <f>"20200202006"</f>
        <v>20200202006</v>
      </c>
      <c r="F55" s="12">
        <v>79.4</v>
      </c>
      <c r="G55" s="11" t="s">
        <v>10</v>
      </c>
    </row>
    <row r="56" s="2" customFormat="1" ht="21" customHeight="1" spans="1:7">
      <c r="A56" s="11">
        <v>53</v>
      </c>
      <c r="B56" s="14" t="str">
        <f>"颜顺良"</f>
        <v>颜顺良</v>
      </c>
      <c r="C56" s="14" t="str">
        <f>"女"</f>
        <v>女</v>
      </c>
      <c r="D56" s="14" t="s">
        <v>27</v>
      </c>
      <c r="E56" s="14" t="str">
        <f>"20200202008"</f>
        <v>20200202008</v>
      </c>
      <c r="F56" s="15">
        <v>79.1</v>
      </c>
      <c r="G56" s="11" t="s">
        <v>10</v>
      </c>
    </row>
    <row r="57" s="2" customFormat="1" ht="21" customHeight="1" spans="1:7">
      <c r="A57" s="11">
        <v>54</v>
      </c>
      <c r="B57" s="11" t="str">
        <f>"吴君豪"</f>
        <v>吴君豪</v>
      </c>
      <c r="C57" s="11" t="str">
        <f>"男"</f>
        <v>男</v>
      </c>
      <c r="D57" s="11" t="s">
        <v>28</v>
      </c>
      <c r="E57" s="11" t="str">
        <f>"20200100907"</f>
        <v>20200100907</v>
      </c>
      <c r="F57" s="12">
        <v>79.35</v>
      </c>
      <c r="G57" s="11" t="s">
        <v>10</v>
      </c>
    </row>
    <row r="58" s="2" customFormat="1" ht="21" customHeight="1" spans="1:7">
      <c r="A58" s="11">
        <v>55</v>
      </c>
      <c r="B58" s="11" t="str">
        <f>"郭晨宏"</f>
        <v>郭晨宏</v>
      </c>
      <c r="C58" s="11" t="str">
        <f>"男"</f>
        <v>男</v>
      </c>
      <c r="D58" s="11" t="s">
        <v>28</v>
      </c>
      <c r="E58" s="11" t="str">
        <f>"20200100906"</f>
        <v>20200100906</v>
      </c>
      <c r="F58" s="12">
        <v>77.85</v>
      </c>
      <c r="G58" s="11" t="s">
        <v>10</v>
      </c>
    </row>
    <row r="59" s="2" customFormat="1" ht="21" customHeight="1" spans="1:7">
      <c r="A59" s="11">
        <v>56</v>
      </c>
      <c r="B59" s="11" t="str">
        <f>"李志阳"</f>
        <v>李志阳</v>
      </c>
      <c r="C59" s="11" t="str">
        <f>"男"</f>
        <v>男</v>
      </c>
      <c r="D59" s="11" t="s">
        <v>28</v>
      </c>
      <c r="E59" s="11" t="str">
        <f>"20200100909"</f>
        <v>20200100909</v>
      </c>
      <c r="F59" s="12">
        <v>72.85</v>
      </c>
      <c r="G59" s="11" t="s">
        <v>10</v>
      </c>
    </row>
    <row r="60" s="2" customFormat="1" ht="21" customHeight="1" spans="1:7">
      <c r="A60" s="11">
        <v>57</v>
      </c>
      <c r="B60" s="11" t="str">
        <f>"杨郝宇"</f>
        <v>杨郝宇</v>
      </c>
      <c r="C60" s="11" t="str">
        <f>"男"</f>
        <v>男</v>
      </c>
      <c r="D60" s="11" t="s">
        <v>28</v>
      </c>
      <c r="E60" s="11" t="str">
        <f>"20200100902"</f>
        <v>20200100902</v>
      </c>
      <c r="F60" s="12">
        <v>71.65</v>
      </c>
      <c r="G60" s="11" t="s">
        <v>10</v>
      </c>
    </row>
    <row r="61" s="2" customFormat="1" ht="21" customHeight="1" spans="1:7">
      <c r="A61" s="11">
        <v>58</v>
      </c>
      <c r="B61" s="11" t="str">
        <f>"曾玥"</f>
        <v>曾玥</v>
      </c>
      <c r="C61" s="11" t="str">
        <f t="shared" ref="C61:C68" si="4">"女"</f>
        <v>女</v>
      </c>
      <c r="D61" s="11" t="s">
        <v>29</v>
      </c>
      <c r="E61" s="11" t="str">
        <f>"20200101021"</f>
        <v>20200101021</v>
      </c>
      <c r="F61" s="12">
        <v>86.65</v>
      </c>
      <c r="G61" s="11" t="s">
        <v>10</v>
      </c>
    </row>
    <row r="62" s="2" customFormat="1" ht="21" customHeight="1" spans="1:7">
      <c r="A62" s="11">
        <v>59</v>
      </c>
      <c r="B62" s="11" t="str">
        <f>"刘艳玲"</f>
        <v>刘艳玲</v>
      </c>
      <c r="C62" s="11" t="str">
        <f t="shared" si="4"/>
        <v>女</v>
      </c>
      <c r="D62" s="11" t="s">
        <v>29</v>
      </c>
      <c r="E62" s="11" t="str">
        <f>"20200101116"</f>
        <v>20200101116</v>
      </c>
      <c r="F62" s="12">
        <v>83</v>
      </c>
      <c r="G62" s="11" t="s">
        <v>10</v>
      </c>
    </row>
    <row r="63" s="2" customFormat="1" ht="21" customHeight="1" spans="1:7">
      <c r="A63" s="11">
        <v>60</v>
      </c>
      <c r="B63" s="11" t="str">
        <f>"黄琴琴"</f>
        <v>黄琴琴</v>
      </c>
      <c r="C63" s="11" t="str">
        <f t="shared" si="4"/>
        <v>女</v>
      </c>
      <c r="D63" s="11" t="s">
        <v>29</v>
      </c>
      <c r="E63" s="11" t="str">
        <f>"20200101316"</f>
        <v>20200101316</v>
      </c>
      <c r="F63" s="12">
        <v>82.8</v>
      </c>
      <c r="G63" s="11" t="s">
        <v>10</v>
      </c>
    </row>
    <row r="64" s="2" customFormat="1" ht="21" customHeight="1" spans="1:7">
      <c r="A64" s="11">
        <v>61</v>
      </c>
      <c r="B64" s="11" t="str">
        <f>"陈腾玉"</f>
        <v>陈腾玉</v>
      </c>
      <c r="C64" s="11" t="str">
        <f t="shared" si="4"/>
        <v>女</v>
      </c>
      <c r="D64" s="11" t="s">
        <v>29</v>
      </c>
      <c r="E64" s="11" t="str">
        <f>"20200101507"</f>
        <v>20200101507</v>
      </c>
      <c r="F64" s="12">
        <v>79.85</v>
      </c>
      <c r="G64" s="11" t="s">
        <v>10</v>
      </c>
    </row>
    <row r="65" s="2" customFormat="1" ht="21" customHeight="1" spans="1:7">
      <c r="A65" s="11">
        <v>62</v>
      </c>
      <c r="B65" s="11" t="str">
        <f>"黄海兰"</f>
        <v>黄海兰</v>
      </c>
      <c r="C65" s="11" t="str">
        <f t="shared" si="4"/>
        <v>女</v>
      </c>
      <c r="D65" s="11" t="s">
        <v>29</v>
      </c>
      <c r="E65" s="11" t="str">
        <f>"20200101103"</f>
        <v>20200101103</v>
      </c>
      <c r="F65" s="12">
        <v>79.25</v>
      </c>
      <c r="G65" s="11" t="s">
        <v>10</v>
      </c>
    </row>
    <row r="66" s="2" customFormat="1" ht="21" customHeight="1" spans="1:7">
      <c r="A66" s="11">
        <v>63</v>
      </c>
      <c r="B66" s="11" t="str">
        <f>"肖怡颖"</f>
        <v>肖怡颖</v>
      </c>
      <c r="C66" s="11" t="str">
        <f t="shared" si="4"/>
        <v>女</v>
      </c>
      <c r="D66" s="11" t="s">
        <v>29</v>
      </c>
      <c r="E66" s="11" t="str">
        <f>"20200101023"</f>
        <v>20200101023</v>
      </c>
      <c r="F66" s="12">
        <v>78.5</v>
      </c>
      <c r="G66" s="11" t="s">
        <v>10</v>
      </c>
    </row>
    <row r="67" s="2" customFormat="1" ht="21" customHeight="1" spans="1:7">
      <c r="A67" s="11">
        <v>64</v>
      </c>
      <c r="B67" s="11" t="str">
        <f>"段蕾"</f>
        <v>段蕾</v>
      </c>
      <c r="C67" s="11" t="str">
        <f t="shared" si="4"/>
        <v>女</v>
      </c>
      <c r="D67" s="11" t="s">
        <v>29</v>
      </c>
      <c r="E67" s="11" t="str">
        <f>"20200101014"</f>
        <v>20200101014</v>
      </c>
      <c r="F67" s="12">
        <v>78.2</v>
      </c>
      <c r="G67" s="11" t="s">
        <v>10</v>
      </c>
    </row>
    <row r="68" s="2" customFormat="1" ht="21" customHeight="1" spans="1:7">
      <c r="A68" s="11">
        <v>65</v>
      </c>
      <c r="B68" s="13" t="str">
        <f>"陈雪薇"</f>
        <v>陈雪薇</v>
      </c>
      <c r="C68" s="13" t="str">
        <f t="shared" si="4"/>
        <v>女</v>
      </c>
      <c r="D68" s="11" t="s">
        <v>29</v>
      </c>
      <c r="E68" s="11" t="str">
        <f>"20200101327"</f>
        <v>20200101327</v>
      </c>
      <c r="F68" s="12">
        <v>77.9</v>
      </c>
      <c r="G68" s="11" t="s">
        <v>10</v>
      </c>
    </row>
    <row r="69" s="2" customFormat="1" ht="21" customHeight="1" spans="1:7">
      <c r="A69" s="11">
        <v>66</v>
      </c>
      <c r="B69" s="11" t="str">
        <f>"朱俊彪"</f>
        <v>朱俊彪</v>
      </c>
      <c r="C69" s="11" t="str">
        <f>"男"</f>
        <v>男</v>
      </c>
      <c r="D69" s="11" t="s">
        <v>30</v>
      </c>
      <c r="E69" s="11" t="str">
        <f>"20200202305"</f>
        <v>20200202305</v>
      </c>
      <c r="F69" s="12">
        <v>78</v>
      </c>
      <c r="G69" s="11" t="s">
        <v>10</v>
      </c>
    </row>
    <row r="70" s="2" customFormat="1" ht="21" customHeight="1" spans="1:7">
      <c r="A70" s="11">
        <v>67</v>
      </c>
      <c r="B70" s="11" t="str">
        <f>"李康"</f>
        <v>李康</v>
      </c>
      <c r="C70" s="11" t="str">
        <f>"男"</f>
        <v>男</v>
      </c>
      <c r="D70" s="11" t="s">
        <v>30</v>
      </c>
      <c r="E70" s="11" t="str">
        <f>"20200202221"</f>
        <v>20200202221</v>
      </c>
      <c r="F70" s="12">
        <v>63.7</v>
      </c>
      <c r="G70" s="11" t="s">
        <v>10</v>
      </c>
    </row>
    <row r="71" s="2" customFormat="1" ht="21" customHeight="1" spans="1:7">
      <c r="A71" s="11">
        <v>68</v>
      </c>
      <c r="B71" s="11" t="str">
        <f>"林海伟"</f>
        <v>林海伟</v>
      </c>
      <c r="C71" s="11" t="str">
        <f>"男"</f>
        <v>男</v>
      </c>
      <c r="D71" s="11" t="s">
        <v>30</v>
      </c>
      <c r="E71" s="11" t="str">
        <f>"20200202306"</f>
        <v>20200202306</v>
      </c>
      <c r="F71" s="12">
        <v>63.3</v>
      </c>
      <c r="G71" s="11" t="s">
        <v>10</v>
      </c>
    </row>
    <row r="72" s="2" customFormat="1" ht="21" customHeight="1" spans="1:7">
      <c r="A72" s="11">
        <v>69</v>
      </c>
      <c r="B72" s="11" t="str">
        <f>"张雨琮"</f>
        <v>张雨琮</v>
      </c>
      <c r="C72" s="11" t="str">
        <f>"女"</f>
        <v>女</v>
      </c>
      <c r="D72" s="11" t="s">
        <v>31</v>
      </c>
      <c r="E72" s="11" t="str">
        <f>"20200202413"</f>
        <v>20200202413</v>
      </c>
      <c r="F72" s="12">
        <v>83.6</v>
      </c>
      <c r="G72" s="11" t="s">
        <v>10</v>
      </c>
    </row>
    <row r="73" s="2" customFormat="1" ht="21" customHeight="1" spans="1:7">
      <c r="A73" s="11">
        <v>70</v>
      </c>
      <c r="B73" s="11" t="str">
        <f>"张雪林"</f>
        <v>张雪林</v>
      </c>
      <c r="C73" s="11" t="str">
        <f>"女"</f>
        <v>女</v>
      </c>
      <c r="D73" s="11" t="s">
        <v>31</v>
      </c>
      <c r="E73" s="11" t="str">
        <f>"20200202506"</f>
        <v>20200202506</v>
      </c>
      <c r="F73" s="12">
        <v>78</v>
      </c>
      <c r="G73" s="11" t="s">
        <v>10</v>
      </c>
    </row>
    <row r="74" s="2" customFormat="1" ht="21" customHeight="1" spans="1:7">
      <c r="A74" s="11">
        <v>71</v>
      </c>
      <c r="B74" s="11" t="str">
        <f>"付燕"</f>
        <v>付燕</v>
      </c>
      <c r="C74" s="11" t="str">
        <f>"女"</f>
        <v>女</v>
      </c>
      <c r="D74" s="11" t="s">
        <v>31</v>
      </c>
      <c r="E74" s="11" t="str">
        <f>"20200202621"</f>
        <v>20200202621</v>
      </c>
      <c r="F74" s="12">
        <v>77.2</v>
      </c>
      <c r="G74" s="11" t="s">
        <v>10</v>
      </c>
    </row>
    <row r="75" s="2" customFormat="1" ht="21" customHeight="1" spans="1:7">
      <c r="A75" s="11">
        <v>72</v>
      </c>
      <c r="B75" s="14" t="str">
        <f>"侯珊"</f>
        <v>侯珊</v>
      </c>
      <c r="C75" s="14" t="str">
        <f>"女"</f>
        <v>女</v>
      </c>
      <c r="D75" s="11" t="s">
        <v>31</v>
      </c>
      <c r="E75" s="11" t="str">
        <f>"20200202519"</f>
        <v>20200202519</v>
      </c>
      <c r="F75" s="12">
        <v>76.8</v>
      </c>
      <c r="G75" s="11" t="s">
        <v>10</v>
      </c>
    </row>
    <row r="76" s="2" customFormat="1" ht="21" customHeight="1" spans="1:7">
      <c r="A76" s="11">
        <v>73</v>
      </c>
      <c r="B76" s="14" t="str">
        <f>"邓云"</f>
        <v>邓云</v>
      </c>
      <c r="C76" s="14" t="str">
        <f>"男"</f>
        <v>男</v>
      </c>
      <c r="D76" s="11" t="s">
        <v>31</v>
      </c>
      <c r="E76" s="11" t="str">
        <f>"20200202419"</f>
        <v>20200202419</v>
      </c>
      <c r="F76" s="12">
        <v>76.7</v>
      </c>
      <c r="G76" s="11" t="s">
        <v>10</v>
      </c>
    </row>
    <row r="77" s="2" customFormat="1" ht="21" customHeight="1" spans="1:7">
      <c r="A77" s="11">
        <v>74</v>
      </c>
      <c r="B77" s="14" t="str">
        <f>"王冬"</f>
        <v>王冬</v>
      </c>
      <c r="C77" s="14" t="str">
        <f>"女"</f>
        <v>女</v>
      </c>
      <c r="D77" s="11" t="s">
        <v>31</v>
      </c>
      <c r="E77" s="11" t="str">
        <f>"20200202703"</f>
        <v>20200202703</v>
      </c>
      <c r="F77" s="12">
        <v>76.7</v>
      </c>
      <c r="G77" s="11" t="s">
        <v>10</v>
      </c>
    </row>
    <row r="78" s="2" customFormat="1" ht="21" customHeight="1" spans="1:7">
      <c r="A78" s="11">
        <v>75</v>
      </c>
      <c r="B78" s="11" t="str">
        <f>"王玉英"</f>
        <v>王玉英</v>
      </c>
      <c r="C78" s="11" t="str">
        <f>"女"</f>
        <v>女</v>
      </c>
      <c r="D78" s="11" t="s">
        <v>32</v>
      </c>
      <c r="E78" s="11" t="str">
        <f>"20200102219"</f>
        <v>20200102219</v>
      </c>
      <c r="F78" s="12">
        <v>91.6</v>
      </c>
      <c r="G78" s="11" t="s">
        <v>10</v>
      </c>
    </row>
    <row r="79" s="2" customFormat="1" ht="21" customHeight="1" spans="1:7">
      <c r="A79" s="11">
        <v>76</v>
      </c>
      <c r="B79" s="11" t="str">
        <f>"李晴"</f>
        <v>李晴</v>
      </c>
      <c r="C79" s="11" t="str">
        <f>"女"</f>
        <v>女</v>
      </c>
      <c r="D79" s="11" t="s">
        <v>32</v>
      </c>
      <c r="E79" s="11" t="str">
        <f>"20200101916"</f>
        <v>20200101916</v>
      </c>
      <c r="F79" s="12">
        <v>88.4</v>
      </c>
      <c r="G79" s="11" t="s">
        <v>10</v>
      </c>
    </row>
    <row r="80" s="2" customFormat="1" ht="21" customHeight="1" spans="1:7">
      <c r="A80" s="11">
        <v>77</v>
      </c>
      <c r="B80" s="11" t="str">
        <f>"丁舒"</f>
        <v>丁舒</v>
      </c>
      <c r="C80" s="11" t="str">
        <f>"女"</f>
        <v>女</v>
      </c>
      <c r="D80" s="11" t="s">
        <v>32</v>
      </c>
      <c r="E80" s="11" t="str">
        <f>"20200102201"</f>
        <v>20200102201</v>
      </c>
      <c r="F80" s="12">
        <v>86.4</v>
      </c>
      <c r="G80" s="11" t="s">
        <v>10</v>
      </c>
    </row>
    <row r="81" s="2" customFormat="1" ht="21" customHeight="1" spans="1:7">
      <c r="A81" s="11">
        <v>78</v>
      </c>
      <c r="B81" s="13" t="str">
        <f>"蒲丽娅"</f>
        <v>蒲丽娅</v>
      </c>
      <c r="C81" s="13" t="str">
        <f>"女"</f>
        <v>女</v>
      </c>
      <c r="D81" s="11" t="s">
        <v>32</v>
      </c>
      <c r="E81" s="11" t="str">
        <f>"20200102007"</f>
        <v>20200102007</v>
      </c>
      <c r="F81" s="12">
        <v>85.9</v>
      </c>
      <c r="G81" s="11" t="s">
        <v>10</v>
      </c>
    </row>
    <row r="82" s="2" customFormat="1" ht="21" customHeight="1" spans="1:7">
      <c r="A82" s="11">
        <v>79</v>
      </c>
      <c r="B82" s="13" t="s">
        <v>33</v>
      </c>
      <c r="C82" s="13" t="str">
        <f>"男"</f>
        <v>男</v>
      </c>
      <c r="D82" s="11" t="s">
        <v>34</v>
      </c>
      <c r="E82" s="11" t="str">
        <f>"20200202822"</f>
        <v>20200202822</v>
      </c>
      <c r="F82" s="12">
        <v>62</v>
      </c>
      <c r="G82" s="11" t="s">
        <v>10</v>
      </c>
    </row>
    <row r="83" s="2" customFormat="1" ht="21" customHeight="1" spans="1:7">
      <c r="A83" s="11">
        <v>80</v>
      </c>
      <c r="B83" s="11" t="str">
        <f>"谢宇佳"</f>
        <v>谢宇佳</v>
      </c>
      <c r="C83" s="11" t="str">
        <f>"男"</f>
        <v>男</v>
      </c>
      <c r="D83" s="11" t="s">
        <v>34</v>
      </c>
      <c r="E83" s="11" t="str">
        <f>"20200202818"</f>
        <v>20200202818</v>
      </c>
      <c r="F83" s="12">
        <v>60.6</v>
      </c>
      <c r="G83" s="11" t="s">
        <v>10</v>
      </c>
    </row>
    <row r="84" s="2" customFormat="1" ht="21" customHeight="1" spans="1:7">
      <c r="A84" s="11">
        <v>81</v>
      </c>
      <c r="B84" s="11" t="str">
        <f>"崔进"</f>
        <v>崔进</v>
      </c>
      <c r="C84" s="11" t="str">
        <f>"男"</f>
        <v>男</v>
      </c>
      <c r="D84" s="11" t="s">
        <v>35</v>
      </c>
      <c r="E84" s="11" t="str">
        <f>"20200202927"</f>
        <v>20200202927</v>
      </c>
      <c r="F84" s="12">
        <v>87.3</v>
      </c>
      <c r="G84" s="11" t="s">
        <v>10</v>
      </c>
    </row>
    <row r="85" s="2" customFormat="1" ht="21" customHeight="1" spans="1:7">
      <c r="A85" s="11">
        <v>82</v>
      </c>
      <c r="B85" s="11" t="str">
        <f>"黄丹"</f>
        <v>黄丹</v>
      </c>
      <c r="C85" s="11" t="str">
        <f t="shared" ref="C85:C92" si="5">"女"</f>
        <v>女</v>
      </c>
      <c r="D85" s="11" t="s">
        <v>35</v>
      </c>
      <c r="E85" s="11" t="str">
        <f>"20200203009"</f>
        <v>20200203009</v>
      </c>
      <c r="F85" s="12">
        <v>66.7</v>
      </c>
      <c r="G85" s="11" t="s">
        <v>10</v>
      </c>
    </row>
    <row r="86" s="2" customFormat="1" ht="21" customHeight="1" spans="1:7">
      <c r="A86" s="11">
        <v>83</v>
      </c>
      <c r="B86" s="11" t="str">
        <f>"郭华伟"</f>
        <v>郭华伟</v>
      </c>
      <c r="C86" s="11" t="str">
        <f>"男"</f>
        <v>男</v>
      </c>
      <c r="D86" s="11" t="s">
        <v>35</v>
      </c>
      <c r="E86" s="11" t="str">
        <f>"20200202902"</f>
        <v>20200202902</v>
      </c>
      <c r="F86" s="12">
        <v>64.3</v>
      </c>
      <c r="G86" s="11" t="s">
        <v>10</v>
      </c>
    </row>
    <row r="87" s="2" customFormat="1" ht="21" customHeight="1" spans="1:7">
      <c r="A87" s="11">
        <v>84</v>
      </c>
      <c r="B87" s="11" t="str">
        <f>"刘姗"</f>
        <v>刘姗</v>
      </c>
      <c r="C87" s="11" t="str">
        <f t="shared" si="5"/>
        <v>女</v>
      </c>
      <c r="D87" s="11" t="s">
        <v>35</v>
      </c>
      <c r="E87" s="11" t="str">
        <f>"20200202911"</f>
        <v>20200202911</v>
      </c>
      <c r="F87" s="12">
        <v>62.8</v>
      </c>
      <c r="G87" s="11" t="s">
        <v>10</v>
      </c>
    </row>
    <row r="88" s="2" customFormat="1" ht="21" customHeight="1" spans="1:7">
      <c r="A88" s="11">
        <v>85</v>
      </c>
      <c r="B88" s="11" t="str">
        <f>"钟玲"</f>
        <v>钟玲</v>
      </c>
      <c r="C88" s="11" t="str">
        <f t="shared" si="5"/>
        <v>女</v>
      </c>
      <c r="D88" s="11" t="s">
        <v>35</v>
      </c>
      <c r="E88" s="11" t="str">
        <f>"20200203004"</f>
        <v>20200203004</v>
      </c>
      <c r="F88" s="12">
        <v>59.7</v>
      </c>
      <c r="G88" s="11" t="s">
        <v>10</v>
      </c>
    </row>
    <row r="89" s="2" customFormat="1" ht="21" customHeight="1" spans="1:7">
      <c r="A89" s="11">
        <v>86</v>
      </c>
      <c r="B89" s="11" t="str">
        <f>"李桂香"</f>
        <v>李桂香</v>
      </c>
      <c r="C89" s="11" t="str">
        <f t="shared" si="5"/>
        <v>女</v>
      </c>
      <c r="D89" s="11" t="s">
        <v>35</v>
      </c>
      <c r="E89" s="11" t="str">
        <f>"20200202907"</f>
        <v>20200202907</v>
      </c>
      <c r="F89" s="12">
        <v>57.9</v>
      </c>
      <c r="G89" s="11" t="s">
        <v>10</v>
      </c>
    </row>
    <row r="90" s="2" customFormat="1" ht="21" customHeight="1" spans="1:7">
      <c r="A90" s="11">
        <v>87</v>
      </c>
      <c r="B90" s="11" t="str">
        <f>"吴婷"</f>
        <v>吴婷</v>
      </c>
      <c r="C90" s="11" t="str">
        <f t="shared" si="5"/>
        <v>女</v>
      </c>
      <c r="D90" s="11" t="s">
        <v>36</v>
      </c>
      <c r="E90" s="11" t="str">
        <f>"20200203218"</f>
        <v>20200203218</v>
      </c>
      <c r="F90" s="12">
        <v>86.7</v>
      </c>
      <c r="G90" s="11" t="s">
        <v>10</v>
      </c>
    </row>
    <row r="91" s="2" customFormat="1" ht="21" customHeight="1" spans="1:7">
      <c r="A91" s="11">
        <v>88</v>
      </c>
      <c r="B91" s="11" t="str">
        <f>"宋叶"</f>
        <v>宋叶</v>
      </c>
      <c r="C91" s="11" t="str">
        <f t="shared" si="5"/>
        <v>女</v>
      </c>
      <c r="D91" s="11" t="s">
        <v>36</v>
      </c>
      <c r="E91" s="11" t="str">
        <f>"20200203120"</f>
        <v>20200203120</v>
      </c>
      <c r="F91" s="12">
        <v>85.8</v>
      </c>
      <c r="G91" s="11" t="s">
        <v>10</v>
      </c>
    </row>
    <row r="92" s="2" customFormat="1" ht="21" customHeight="1" spans="1:7">
      <c r="A92" s="11">
        <v>89</v>
      </c>
      <c r="B92" s="11" t="str">
        <f>"刘姿"</f>
        <v>刘姿</v>
      </c>
      <c r="C92" s="11" t="str">
        <f t="shared" si="5"/>
        <v>女</v>
      </c>
      <c r="D92" s="11" t="s">
        <v>36</v>
      </c>
      <c r="E92" s="11" t="str">
        <f>"20200203306"</f>
        <v>20200203306</v>
      </c>
      <c r="F92" s="12">
        <v>85.8</v>
      </c>
      <c r="G92" s="11" t="s">
        <v>10</v>
      </c>
    </row>
    <row r="93" s="2" customFormat="1" ht="21" customHeight="1" spans="1:7">
      <c r="A93" s="11">
        <v>90</v>
      </c>
      <c r="B93" s="11" t="str">
        <f>"胡朝夕"</f>
        <v>胡朝夕</v>
      </c>
      <c r="C93" s="11" t="str">
        <f>"男"</f>
        <v>男</v>
      </c>
      <c r="D93" s="11" t="s">
        <v>36</v>
      </c>
      <c r="E93" s="11" t="str">
        <f>"20200203302"</f>
        <v>20200203302</v>
      </c>
      <c r="F93" s="12">
        <v>85.7</v>
      </c>
      <c r="G93" s="11" t="s">
        <v>10</v>
      </c>
    </row>
    <row r="94" s="2" customFormat="1" ht="21" customHeight="1" spans="1:7">
      <c r="A94" s="11">
        <v>91</v>
      </c>
      <c r="B94" s="11" t="str">
        <f>"朱玲"</f>
        <v>朱玲</v>
      </c>
      <c r="C94" s="11" t="str">
        <f>"女"</f>
        <v>女</v>
      </c>
      <c r="D94" s="11" t="s">
        <v>37</v>
      </c>
      <c r="E94" s="11" t="str">
        <f>"20200203409"</f>
        <v>20200203409</v>
      </c>
      <c r="F94" s="12">
        <v>93.7</v>
      </c>
      <c r="G94" s="11" t="s">
        <v>10</v>
      </c>
    </row>
    <row r="95" s="2" customFormat="1" ht="21" customHeight="1" spans="1:7">
      <c r="A95" s="11">
        <v>92</v>
      </c>
      <c r="B95" s="11" t="str">
        <f>"危冰莹"</f>
        <v>危冰莹</v>
      </c>
      <c r="C95" s="11" t="str">
        <f>"女"</f>
        <v>女</v>
      </c>
      <c r="D95" s="11" t="s">
        <v>37</v>
      </c>
      <c r="E95" s="11" t="str">
        <f>"20200203404"</f>
        <v>20200203404</v>
      </c>
      <c r="F95" s="12">
        <v>92.2</v>
      </c>
      <c r="G95" s="11" t="s">
        <v>10</v>
      </c>
    </row>
    <row r="96" s="2" customFormat="1" ht="21" customHeight="1" spans="1:7">
      <c r="A96" s="11">
        <v>93</v>
      </c>
      <c r="B96" s="11" t="str">
        <f>"何亚华"</f>
        <v>何亚华</v>
      </c>
      <c r="C96" s="11" t="str">
        <f>"男"</f>
        <v>男</v>
      </c>
      <c r="D96" s="11" t="s">
        <v>38</v>
      </c>
      <c r="E96" s="11" t="str">
        <f>"20200203624"</f>
        <v>20200203624</v>
      </c>
      <c r="F96" s="12">
        <v>75.4</v>
      </c>
      <c r="G96" s="11" t="s">
        <v>10</v>
      </c>
    </row>
    <row r="97" s="2" customFormat="1" ht="21" customHeight="1" spans="1:7">
      <c r="A97" s="11">
        <v>94</v>
      </c>
      <c r="B97" s="11" t="str">
        <f>"谌孙标"</f>
        <v>谌孙标</v>
      </c>
      <c r="C97" s="11" t="str">
        <f>"男"</f>
        <v>男</v>
      </c>
      <c r="D97" s="11" t="s">
        <v>38</v>
      </c>
      <c r="E97" s="11" t="str">
        <f>"20200203602"</f>
        <v>20200203602</v>
      </c>
      <c r="F97" s="12">
        <v>74.8</v>
      </c>
      <c r="G97" s="11" t="s">
        <v>10</v>
      </c>
    </row>
    <row r="98" s="2" customFormat="1" ht="21" customHeight="1" spans="1:7">
      <c r="A98" s="11">
        <v>95</v>
      </c>
      <c r="B98" s="11" t="str">
        <f>"刘海钦"</f>
        <v>刘海钦</v>
      </c>
      <c r="C98" s="11" t="str">
        <f>"男"</f>
        <v>男</v>
      </c>
      <c r="D98" s="11" t="s">
        <v>38</v>
      </c>
      <c r="E98" s="11" t="str">
        <f>"20200203613"</f>
        <v>20200203613</v>
      </c>
      <c r="F98" s="12">
        <v>73.6</v>
      </c>
      <c r="G98" s="11" t="s">
        <v>10</v>
      </c>
    </row>
    <row r="99" s="2" customFormat="1" ht="21" customHeight="1" spans="1:7">
      <c r="A99" s="11">
        <v>96</v>
      </c>
      <c r="B99" s="11" t="str">
        <f>"杨邻侠"</f>
        <v>杨邻侠</v>
      </c>
      <c r="C99" s="11" t="str">
        <f>"女"</f>
        <v>女</v>
      </c>
      <c r="D99" s="11" t="s">
        <v>39</v>
      </c>
      <c r="E99" s="11" t="str">
        <f>"20200203713"</f>
        <v>20200203713</v>
      </c>
      <c r="F99" s="12">
        <v>71.6</v>
      </c>
      <c r="G99" s="11" t="s">
        <v>10</v>
      </c>
    </row>
    <row r="100" s="2" customFormat="1" ht="21" customHeight="1" spans="1:7">
      <c r="A100" s="11">
        <v>97</v>
      </c>
      <c r="B100" s="11" t="str">
        <f>"李叙博"</f>
        <v>李叙博</v>
      </c>
      <c r="C100" s="11" t="str">
        <f>"男"</f>
        <v>男</v>
      </c>
      <c r="D100" s="11" t="s">
        <v>39</v>
      </c>
      <c r="E100" s="11" t="str">
        <f>"20200203711"</f>
        <v>20200203711</v>
      </c>
      <c r="F100" s="12">
        <v>69.6</v>
      </c>
      <c r="G100" s="11" t="s">
        <v>10</v>
      </c>
    </row>
    <row r="101" s="2" customFormat="1" ht="21" customHeight="1" spans="1:7">
      <c r="A101" s="11">
        <v>98</v>
      </c>
      <c r="B101" s="14" t="str">
        <f>"杨丈毅"</f>
        <v>杨丈毅</v>
      </c>
      <c r="C101" s="14" t="str">
        <f>"男"</f>
        <v>男</v>
      </c>
      <c r="D101" s="11" t="s">
        <v>39</v>
      </c>
      <c r="E101" s="11" t="str">
        <f>"20200203707"</f>
        <v>20200203707</v>
      </c>
      <c r="F101" s="12">
        <v>68.6</v>
      </c>
      <c r="G101" s="11" t="s">
        <v>10</v>
      </c>
    </row>
    <row r="102" s="2" customFormat="1" ht="21" customHeight="1" spans="1:7">
      <c r="A102" s="11">
        <v>99</v>
      </c>
      <c r="B102" s="11" t="str">
        <f>"陈佳"</f>
        <v>陈佳</v>
      </c>
      <c r="C102" s="11" t="str">
        <f>"男"</f>
        <v>男</v>
      </c>
      <c r="D102" s="11" t="s">
        <v>40</v>
      </c>
      <c r="E102" s="11" t="str">
        <f>"20200102610"</f>
        <v>20200102610</v>
      </c>
      <c r="F102" s="12">
        <v>82.85</v>
      </c>
      <c r="G102" s="11" t="s">
        <v>10</v>
      </c>
    </row>
    <row r="103" s="2" customFormat="1" ht="21" customHeight="1" spans="1:7">
      <c r="A103" s="11">
        <v>100</v>
      </c>
      <c r="B103" s="11" t="str">
        <f>"谢久文"</f>
        <v>谢久文</v>
      </c>
      <c r="C103" s="11" t="str">
        <f>"男"</f>
        <v>男</v>
      </c>
      <c r="D103" s="11" t="s">
        <v>40</v>
      </c>
      <c r="E103" s="11" t="str">
        <f>"20200102614"</f>
        <v>20200102614</v>
      </c>
      <c r="F103" s="12">
        <v>81.4</v>
      </c>
      <c r="G103" s="11" t="s">
        <v>10</v>
      </c>
    </row>
    <row r="104" s="2" customFormat="1" ht="21" customHeight="1" spans="1:7">
      <c r="A104" s="11">
        <v>101</v>
      </c>
      <c r="B104" s="11" t="str">
        <f>"凌沙"</f>
        <v>凌沙</v>
      </c>
      <c r="C104" s="11" t="str">
        <f>"男"</f>
        <v>男</v>
      </c>
      <c r="D104" s="11" t="s">
        <v>40</v>
      </c>
      <c r="E104" s="11" t="str">
        <f>"20200102608"</f>
        <v>20200102608</v>
      </c>
      <c r="F104" s="12">
        <v>75.9</v>
      </c>
      <c r="G104" s="11" t="s">
        <v>10</v>
      </c>
    </row>
    <row r="105" s="2" customFormat="1" ht="21" customHeight="1" spans="1:7">
      <c r="A105" s="11">
        <v>102</v>
      </c>
      <c r="B105" s="11" t="str">
        <f>"李滔"</f>
        <v>李滔</v>
      </c>
      <c r="C105" s="11" t="str">
        <f t="shared" ref="C105:C117" si="6">"男"</f>
        <v>男</v>
      </c>
      <c r="D105" s="11" t="s">
        <v>40</v>
      </c>
      <c r="E105" s="11" t="str">
        <f>"20200102513"</f>
        <v>20200102513</v>
      </c>
      <c r="F105" s="12">
        <v>73.95</v>
      </c>
      <c r="G105" s="11" t="s">
        <v>10</v>
      </c>
    </row>
    <row r="106" s="2" customFormat="1" ht="21" customHeight="1" spans="1:7">
      <c r="A106" s="11">
        <v>103</v>
      </c>
      <c r="B106" s="11" t="str">
        <f>"陈琛"</f>
        <v>陈琛</v>
      </c>
      <c r="C106" s="11" t="str">
        <f t="shared" si="6"/>
        <v>男</v>
      </c>
      <c r="D106" s="11" t="s">
        <v>40</v>
      </c>
      <c r="E106" s="11" t="str">
        <f>"20200102618"</f>
        <v>20200102618</v>
      </c>
      <c r="F106" s="12">
        <v>73.45</v>
      </c>
      <c r="G106" s="11" t="s">
        <v>10</v>
      </c>
    </row>
    <row r="107" s="2" customFormat="1" ht="21" customHeight="1" spans="1:7">
      <c r="A107" s="11">
        <v>104</v>
      </c>
      <c r="B107" s="11" t="str">
        <f>"梁言国"</f>
        <v>梁言国</v>
      </c>
      <c r="C107" s="11" t="str">
        <f t="shared" si="6"/>
        <v>男</v>
      </c>
      <c r="D107" s="11" t="s">
        <v>40</v>
      </c>
      <c r="E107" s="11" t="str">
        <f>"20200102709"</f>
        <v>20200102709</v>
      </c>
      <c r="F107" s="12">
        <v>73.3</v>
      </c>
      <c r="G107" s="11" t="s">
        <v>10</v>
      </c>
    </row>
    <row r="108" s="2" customFormat="1" ht="21" customHeight="1" spans="1:7">
      <c r="A108" s="11">
        <v>105</v>
      </c>
      <c r="B108" s="11" t="str">
        <f>"沈帮龙"</f>
        <v>沈帮龙</v>
      </c>
      <c r="C108" s="11" t="str">
        <f t="shared" si="6"/>
        <v>男</v>
      </c>
      <c r="D108" s="11" t="s">
        <v>40</v>
      </c>
      <c r="E108" s="11" t="str">
        <f>"20200102705"</f>
        <v>20200102705</v>
      </c>
      <c r="F108" s="12">
        <v>72.85</v>
      </c>
      <c r="G108" s="11" t="s">
        <v>10</v>
      </c>
    </row>
    <row r="109" s="2" customFormat="1" ht="21" customHeight="1" spans="1:7">
      <c r="A109" s="11">
        <v>106</v>
      </c>
      <c r="B109" s="11" t="str">
        <f>"曹涛"</f>
        <v>曹涛</v>
      </c>
      <c r="C109" s="11" t="str">
        <f t="shared" si="6"/>
        <v>男</v>
      </c>
      <c r="D109" s="11" t="s">
        <v>40</v>
      </c>
      <c r="E109" s="11" t="str">
        <f>"20200102526"</f>
        <v>20200102526</v>
      </c>
      <c r="F109" s="12">
        <v>71.45</v>
      </c>
      <c r="G109" s="11" t="s">
        <v>10</v>
      </c>
    </row>
    <row r="110" s="2" customFormat="1" ht="21" customHeight="1" spans="1:7">
      <c r="A110" s="11">
        <v>107</v>
      </c>
      <c r="B110" s="11" t="str">
        <f>"王峥嵘"</f>
        <v>王峥嵘</v>
      </c>
      <c r="C110" s="11" t="str">
        <f t="shared" si="6"/>
        <v>男</v>
      </c>
      <c r="D110" s="11" t="s">
        <v>40</v>
      </c>
      <c r="E110" s="11" t="str">
        <f>"20200102708"</f>
        <v>20200102708</v>
      </c>
      <c r="F110" s="12">
        <v>70.85</v>
      </c>
      <c r="G110" s="11" t="s">
        <v>10</v>
      </c>
    </row>
    <row r="111" s="2" customFormat="1" ht="21" customHeight="1" spans="1:7">
      <c r="A111" s="11">
        <v>108</v>
      </c>
      <c r="B111" s="11" t="str">
        <f>"袁子健"</f>
        <v>袁子健</v>
      </c>
      <c r="C111" s="11" t="str">
        <f t="shared" si="6"/>
        <v>男</v>
      </c>
      <c r="D111" s="11" t="s">
        <v>40</v>
      </c>
      <c r="E111" s="11" t="str">
        <f>"20200102621"</f>
        <v>20200102621</v>
      </c>
      <c r="F111" s="12">
        <v>68.9</v>
      </c>
      <c r="G111" s="11" t="s">
        <v>10</v>
      </c>
    </row>
    <row r="112" s="2" customFormat="1" ht="21" customHeight="1" spans="1:7">
      <c r="A112" s="11">
        <v>109</v>
      </c>
      <c r="B112" s="11" t="str">
        <f>"刘根"</f>
        <v>刘根</v>
      </c>
      <c r="C112" s="11" t="str">
        <f t="shared" si="6"/>
        <v>男</v>
      </c>
      <c r="D112" s="11" t="s">
        <v>40</v>
      </c>
      <c r="E112" s="11" t="str">
        <f>"20200102611"</f>
        <v>20200102611</v>
      </c>
      <c r="F112" s="12">
        <v>68.85</v>
      </c>
      <c r="G112" s="11" t="s">
        <v>10</v>
      </c>
    </row>
    <row r="113" s="2" customFormat="1" ht="21" customHeight="1" spans="1:7">
      <c r="A113" s="11">
        <v>110</v>
      </c>
      <c r="B113" s="11" t="str">
        <f>"邓雄斌"</f>
        <v>邓雄斌</v>
      </c>
      <c r="C113" s="11" t="str">
        <f t="shared" si="6"/>
        <v>男</v>
      </c>
      <c r="D113" s="11" t="s">
        <v>40</v>
      </c>
      <c r="E113" s="11" t="str">
        <f>"20200102510"</f>
        <v>20200102510</v>
      </c>
      <c r="F113" s="12">
        <v>67.8</v>
      </c>
      <c r="G113" s="11" t="s">
        <v>10</v>
      </c>
    </row>
    <row r="114" s="2" customFormat="1" ht="21" customHeight="1" spans="1:7">
      <c r="A114" s="11">
        <v>111</v>
      </c>
      <c r="B114" s="11" t="str">
        <f>"李博爱"</f>
        <v>李博爱</v>
      </c>
      <c r="C114" s="11" t="str">
        <f t="shared" si="6"/>
        <v>男</v>
      </c>
      <c r="D114" s="11" t="s">
        <v>40</v>
      </c>
      <c r="E114" s="11" t="str">
        <f>"20200102516"</f>
        <v>20200102516</v>
      </c>
      <c r="F114" s="12">
        <v>67.8</v>
      </c>
      <c r="G114" s="11" t="s">
        <v>10</v>
      </c>
    </row>
    <row r="115" s="2" customFormat="1" ht="21" customHeight="1" spans="1:7">
      <c r="A115" s="11">
        <v>112</v>
      </c>
      <c r="B115" s="11" t="str">
        <f>"廖纯宇"</f>
        <v>廖纯宇</v>
      </c>
      <c r="C115" s="11" t="str">
        <f t="shared" si="6"/>
        <v>男</v>
      </c>
      <c r="D115" s="11" t="s">
        <v>40</v>
      </c>
      <c r="E115" s="11" t="str">
        <f>"20200102517"</f>
        <v>20200102517</v>
      </c>
      <c r="F115" s="12">
        <v>64.2</v>
      </c>
      <c r="G115" s="11" t="s">
        <v>10</v>
      </c>
    </row>
    <row r="116" s="2" customFormat="1" ht="21" customHeight="1" spans="1:7">
      <c r="A116" s="11">
        <v>113</v>
      </c>
      <c r="B116" s="11" t="str">
        <f>"李涛"</f>
        <v>李涛</v>
      </c>
      <c r="C116" s="11" t="str">
        <f t="shared" si="6"/>
        <v>男</v>
      </c>
      <c r="D116" s="11" t="s">
        <v>40</v>
      </c>
      <c r="E116" s="11" t="str">
        <f>"20200102622"</f>
        <v>20200102622</v>
      </c>
      <c r="F116" s="12">
        <v>63.75</v>
      </c>
      <c r="G116" s="11" t="s">
        <v>10</v>
      </c>
    </row>
    <row r="117" s="2" customFormat="1" ht="21" customHeight="1" spans="1:7">
      <c r="A117" s="11">
        <v>114</v>
      </c>
      <c r="B117" s="14" t="s">
        <v>41</v>
      </c>
      <c r="C117" s="14" t="str">
        <f t="shared" si="6"/>
        <v>男</v>
      </c>
      <c r="D117" s="11" t="s">
        <v>40</v>
      </c>
      <c r="E117" s="11" t="str">
        <f>"20200102520"</f>
        <v>20200102520</v>
      </c>
      <c r="F117" s="12">
        <v>63</v>
      </c>
      <c r="G117" s="11" t="s">
        <v>10</v>
      </c>
    </row>
    <row r="118" s="2" customFormat="1" ht="21" customHeight="1" spans="1:7">
      <c r="A118" s="11">
        <v>115</v>
      </c>
      <c r="B118" s="11" t="str">
        <f>"彭娜"</f>
        <v>彭娜</v>
      </c>
      <c r="C118" s="11" t="str">
        <f t="shared" ref="C118:C161" si="7">"女"</f>
        <v>女</v>
      </c>
      <c r="D118" s="11" t="s">
        <v>42</v>
      </c>
      <c r="E118" s="11" t="str">
        <f>"20200106517"</f>
        <v>20200106517</v>
      </c>
      <c r="F118" s="12">
        <v>82.35</v>
      </c>
      <c r="G118" s="11" t="s">
        <v>10</v>
      </c>
    </row>
    <row r="119" s="2" customFormat="1" ht="21" customHeight="1" spans="1:7">
      <c r="A119" s="11">
        <v>116</v>
      </c>
      <c r="B119" s="11" t="str">
        <f>"邓巧媚"</f>
        <v>邓巧媚</v>
      </c>
      <c r="C119" s="11" t="str">
        <f t="shared" si="7"/>
        <v>女</v>
      </c>
      <c r="D119" s="11" t="s">
        <v>42</v>
      </c>
      <c r="E119" s="11" t="str">
        <f>"20200103310"</f>
        <v>20200103310</v>
      </c>
      <c r="F119" s="12">
        <v>81.45</v>
      </c>
      <c r="G119" s="11" t="s">
        <v>10</v>
      </c>
    </row>
    <row r="120" s="2" customFormat="1" ht="21" customHeight="1" spans="1:7">
      <c r="A120" s="11">
        <v>117</v>
      </c>
      <c r="B120" s="11" t="str">
        <f>"李红婷"</f>
        <v>李红婷</v>
      </c>
      <c r="C120" s="11" t="str">
        <f t="shared" si="7"/>
        <v>女</v>
      </c>
      <c r="D120" s="11" t="s">
        <v>42</v>
      </c>
      <c r="E120" s="11" t="str">
        <f>"20200108214"</f>
        <v>20200108214</v>
      </c>
      <c r="F120" s="12">
        <v>81.45</v>
      </c>
      <c r="G120" s="11" t="s">
        <v>10</v>
      </c>
    </row>
    <row r="121" s="2" customFormat="1" ht="21" customHeight="1" spans="1:7">
      <c r="A121" s="11">
        <v>118</v>
      </c>
      <c r="B121" s="11" t="str">
        <f>"喻瑶"</f>
        <v>喻瑶</v>
      </c>
      <c r="C121" s="11" t="str">
        <f t="shared" si="7"/>
        <v>女</v>
      </c>
      <c r="D121" s="11" t="s">
        <v>42</v>
      </c>
      <c r="E121" s="11" t="str">
        <f>"20200106811"</f>
        <v>20200106811</v>
      </c>
      <c r="F121" s="12">
        <v>80.9</v>
      </c>
      <c r="G121" s="11" t="s">
        <v>10</v>
      </c>
    </row>
    <row r="122" s="2" customFormat="1" ht="21" customHeight="1" spans="1:7">
      <c r="A122" s="11">
        <v>119</v>
      </c>
      <c r="B122" s="11" t="str">
        <f>"李倩梅"</f>
        <v>李倩梅</v>
      </c>
      <c r="C122" s="11" t="str">
        <f t="shared" si="7"/>
        <v>女</v>
      </c>
      <c r="D122" s="11" t="s">
        <v>42</v>
      </c>
      <c r="E122" s="11" t="str">
        <f>"20200108412"</f>
        <v>20200108412</v>
      </c>
      <c r="F122" s="12">
        <v>80.8</v>
      </c>
      <c r="G122" s="11" t="s">
        <v>10</v>
      </c>
    </row>
    <row r="123" s="2" customFormat="1" ht="21" customHeight="1" spans="1:7">
      <c r="A123" s="11">
        <v>120</v>
      </c>
      <c r="B123" s="11" t="str">
        <f>"石贞义"</f>
        <v>石贞义</v>
      </c>
      <c r="C123" s="11" t="str">
        <f t="shared" si="7"/>
        <v>女</v>
      </c>
      <c r="D123" s="11" t="s">
        <v>42</v>
      </c>
      <c r="E123" s="11" t="str">
        <f>"20200106022"</f>
        <v>20200106022</v>
      </c>
      <c r="F123" s="12">
        <v>79.75</v>
      </c>
      <c r="G123" s="11" t="s">
        <v>10</v>
      </c>
    </row>
    <row r="124" s="2" customFormat="1" ht="21" customHeight="1" spans="1:7">
      <c r="A124" s="11">
        <v>121</v>
      </c>
      <c r="B124" s="11" t="str">
        <f>"曾媛"</f>
        <v>曾媛</v>
      </c>
      <c r="C124" s="11" t="str">
        <f t="shared" si="7"/>
        <v>女</v>
      </c>
      <c r="D124" s="11" t="s">
        <v>42</v>
      </c>
      <c r="E124" s="11" t="str">
        <f>"20200105317"</f>
        <v>20200105317</v>
      </c>
      <c r="F124" s="12">
        <v>79.7</v>
      </c>
      <c r="G124" s="11" t="s">
        <v>10</v>
      </c>
    </row>
    <row r="125" s="2" customFormat="1" ht="21" customHeight="1" spans="1:7">
      <c r="A125" s="11">
        <v>122</v>
      </c>
      <c r="B125" s="11" t="str">
        <f>"李亚枝"</f>
        <v>李亚枝</v>
      </c>
      <c r="C125" s="11" t="str">
        <f t="shared" si="7"/>
        <v>女</v>
      </c>
      <c r="D125" s="11" t="s">
        <v>42</v>
      </c>
      <c r="E125" s="11" t="str">
        <f>"20200108227"</f>
        <v>20200108227</v>
      </c>
      <c r="F125" s="12">
        <v>79.45</v>
      </c>
      <c r="G125" s="11" t="s">
        <v>10</v>
      </c>
    </row>
    <row r="126" s="2" customFormat="1" ht="21" customHeight="1" spans="1:7">
      <c r="A126" s="11">
        <v>123</v>
      </c>
      <c r="B126" s="11" t="str">
        <f>"邬惠"</f>
        <v>邬惠</v>
      </c>
      <c r="C126" s="11" t="str">
        <f t="shared" si="7"/>
        <v>女</v>
      </c>
      <c r="D126" s="11" t="s">
        <v>42</v>
      </c>
      <c r="E126" s="11" t="str">
        <f>"20200104921"</f>
        <v>20200104921</v>
      </c>
      <c r="F126" s="12">
        <v>79.4</v>
      </c>
      <c r="G126" s="11" t="s">
        <v>10</v>
      </c>
    </row>
    <row r="127" s="2" customFormat="1" ht="21" customHeight="1" spans="1:7">
      <c r="A127" s="11">
        <v>124</v>
      </c>
      <c r="B127" s="11" t="str">
        <f>"申紫黎"</f>
        <v>申紫黎</v>
      </c>
      <c r="C127" s="11" t="str">
        <f t="shared" si="7"/>
        <v>女</v>
      </c>
      <c r="D127" s="11" t="s">
        <v>42</v>
      </c>
      <c r="E127" s="11" t="str">
        <f>"20200103809"</f>
        <v>20200103809</v>
      </c>
      <c r="F127" s="12">
        <v>79.35</v>
      </c>
      <c r="G127" s="11" t="s">
        <v>10</v>
      </c>
    </row>
    <row r="128" s="2" customFormat="1" ht="21" customHeight="1" spans="1:7">
      <c r="A128" s="11">
        <v>125</v>
      </c>
      <c r="B128" s="11" t="str">
        <f>"陈梦娜"</f>
        <v>陈梦娜</v>
      </c>
      <c r="C128" s="11" t="str">
        <f t="shared" si="7"/>
        <v>女</v>
      </c>
      <c r="D128" s="11" t="s">
        <v>42</v>
      </c>
      <c r="E128" s="11" t="str">
        <f>"20200108024"</f>
        <v>20200108024</v>
      </c>
      <c r="F128" s="12">
        <v>79.1</v>
      </c>
      <c r="G128" s="11" t="s">
        <v>10</v>
      </c>
    </row>
    <row r="129" s="2" customFormat="1" ht="21" customHeight="1" spans="1:7">
      <c r="A129" s="11">
        <v>126</v>
      </c>
      <c r="B129" s="11" t="str">
        <f>"宁静"</f>
        <v>宁静</v>
      </c>
      <c r="C129" s="11" t="str">
        <f t="shared" si="7"/>
        <v>女</v>
      </c>
      <c r="D129" s="11" t="s">
        <v>42</v>
      </c>
      <c r="E129" s="11" t="str">
        <f>"20200105428"</f>
        <v>20200105428</v>
      </c>
      <c r="F129" s="12">
        <v>78.95</v>
      </c>
      <c r="G129" s="11" t="s">
        <v>10</v>
      </c>
    </row>
    <row r="130" s="2" customFormat="1" ht="21" customHeight="1" spans="1:7">
      <c r="A130" s="11">
        <v>127</v>
      </c>
      <c r="B130" s="11" t="str">
        <f>"谢文美"</f>
        <v>谢文美</v>
      </c>
      <c r="C130" s="11" t="str">
        <f t="shared" si="7"/>
        <v>女</v>
      </c>
      <c r="D130" s="11" t="s">
        <v>42</v>
      </c>
      <c r="E130" s="11" t="str">
        <f>"20200104316"</f>
        <v>20200104316</v>
      </c>
      <c r="F130" s="12">
        <v>78.65</v>
      </c>
      <c r="G130" s="11" t="s">
        <v>10</v>
      </c>
    </row>
    <row r="131" s="2" customFormat="1" ht="21" customHeight="1" spans="1:7">
      <c r="A131" s="11">
        <v>128</v>
      </c>
      <c r="B131" s="11" t="str">
        <f>"陈罗娜"</f>
        <v>陈罗娜</v>
      </c>
      <c r="C131" s="11" t="str">
        <f t="shared" si="7"/>
        <v>女</v>
      </c>
      <c r="D131" s="11" t="s">
        <v>42</v>
      </c>
      <c r="E131" s="11" t="str">
        <f>"20200108005"</f>
        <v>20200108005</v>
      </c>
      <c r="F131" s="12">
        <v>78.25</v>
      </c>
      <c r="G131" s="11" t="s">
        <v>10</v>
      </c>
    </row>
    <row r="132" s="2" customFormat="1" ht="21" customHeight="1" spans="1:7">
      <c r="A132" s="11">
        <v>129</v>
      </c>
      <c r="B132" s="11" t="str">
        <f>"唐小玲"</f>
        <v>唐小玲</v>
      </c>
      <c r="C132" s="11" t="str">
        <f t="shared" si="7"/>
        <v>女</v>
      </c>
      <c r="D132" s="11" t="s">
        <v>42</v>
      </c>
      <c r="E132" s="11" t="str">
        <f>"20200103109"</f>
        <v>20200103109</v>
      </c>
      <c r="F132" s="12">
        <v>78.2</v>
      </c>
      <c r="G132" s="11" t="s">
        <v>10</v>
      </c>
    </row>
    <row r="133" s="2" customFormat="1" ht="21" customHeight="1" spans="1:7">
      <c r="A133" s="11">
        <v>130</v>
      </c>
      <c r="B133" s="11" t="str">
        <f>"禹延春"</f>
        <v>禹延春</v>
      </c>
      <c r="C133" s="11" t="str">
        <f t="shared" si="7"/>
        <v>女</v>
      </c>
      <c r="D133" s="11" t="s">
        <v>42</v>
      </c>
      <c r="E133" s="11" t="str">
        <f>"20200106018"</f>
        <v>20200106018</v>
      </c>
      <c r="F133" s="12">
        <v>78.2</v>
      </c>
      <c r="G133" s="11" t="s">
        <v>10</v>
      </c>
    </row>
    <row r="134" s="2" customFormat="1" ht="21" customHeight="1" spans="1:7">
      <c r="A134" s="11">
        <v>131</v>
      </c>
      <c r="B134" s="11" t="str">
        <f>"段牡慧"</f>
        <v>段牡慧</v>
      </c>
      <c r="C134" s="11" t="str">
        <f t="shared" si="7"/>
        <v>女</v>
      </c>
      <c r="D134" s="11" t="s">
        <v>42</v>
      </c>
      <c r="E134" s="11" t="str">
        <f>"20200106406"</f>
        <v>20200106406</v>
      </c>
      <c r="F134" s="12">
        <v>78.1</v>
      </c>
      <c r="G134" s="11" t="s">
        <v>10</v>
      </c>
    </row>
    <row r="135" s="2" customFormat="1" ht="21" customHeight="1" spans="1:7">
      <c r="A135" s="11">
        <v>132</v>
      </c>
      <c r="B135" s="11" t="str">
        <f>"刘雅凤"</f>
        <v>刘雅凤</v>
      </c>
      <c r="C135" s="11" t="str">
        <f t="shared" si="7"/>
        <v>女</v>
      </c>
      <c r="D135" s="11" t="s">
        <v>42</v>
      </c>
      <c r="E135" s="11" t="str">
        <f>"20200106805"</f>
        <v>20200106805</v>
      </c>
      <c r="F135" s="12">
        <v>77.75</v>
      </c>
      <c r="G135" s="11" t="s">
        <v>10</v>
      </c>
    </row>
    <row r="136" s="2" customFormat="1" ht="21" customHeight="1" spans="1:7">
      <c r="A136" s="11">
        <v>133</v>
      </c>
      <c r="B136" s="11" t="str">
        <f>"李晶莹"</f>
        <v>李晶莹</v>
      </c>
      <c r="C136" s="11" t="str">
        <f t="shared" si="7"/>
        <v>女</v>
      </c>
      <c r="D136" s="11" t="s">
        <v>42</v>
      </c>
      <c r="E136" s="11" t="str">
        <f>"20200107703"</f>
        <v>20200107703</v>
      </c>
      <c r="F136" s="12">
        <v>77.7</v>
      </c>
      <c r="G136" s="11" t="s">
        <v>10</v>
      </c>
    </row>
    <row r="137" s="2" customFormat="1" ht="21" customHeight="1" spans="1:7">
      <c r="A137" s="11">
        <v>134</v>
      </c>
      <c r="B137" s="11" t="str">
        <f>"吴杰伟"</f>
        <v>吴杰伟</v>
      </c>
      <c r="C137" s="11" t="str">
        <f t="shared" si="7"/>
        <v>女</v>
      </c>
      <c r="D137" s="11" t="s">
        <v>42</v>
      </c>
      <c r="E137" s="11" t="str">
        <f>"20200108029"</f>
        <v>20200108029</v>
      </c>
      <c r="F137" s="12">
        <v>77.5</v>
      </c>
      <c r="G137" s="11" t="s">
        <v>10</v>
      </c>
    </row>
    <row r="138" s="2" customFormat="1" ht="21" customHeight="1" spans="1:7">
      <c r="A138" s="11">
        <v>135</v>
      </c>
      <c r="B138" s="11" t="str">
        <f>"吴媛媛"</f>
        <v>吴媛媛</v>
      </c>
      <c r="C138" s="11" t="str">
        <f t="shared" si="7"/>
        <v>女</v>
      </c>
      <c r="D138" s="11" t="s">
        <v>42</v>
      </c>
      <c r="E138" s="11" t="str">
        <f>"20200105226"</f>
        <v>20200105226</v>
      </c>
      <c r="F138" s="12">
        <v>77.45</v>
      </c>
      <c r="G138" s="11" t="s">
        <v>10</v>
      </c>
    </row>
    <row r="139" s="2" customFormat="1" ht="21" customHeight="1" spans="1:7">
      <c r="A139" s="11">
        <v>136</v>
      </c>
      <c r="B139" s="11" t="str">
        <f>"刘晓"</f>
        <v>刘晓</v>
      </c>
      <c r="C139" s="11" t="str">
        <f t="shared" si="7"/>
        <v>女</v>
      </c>
      <c r="D139" s="11" t="s">
        <v>42</v>
      </c>
      <c r="E139" s="11" t="str">
        <f>"20200108418"</f>
        <v>20200108418</v>
      </c>
      <c r="F139" s="12">
        <v>77.45</v>
      </c>
      <c r="G139" s="11" t="s">
        <v>10</v>
      </c>
    </row>
    <row r="140" s="2" customFormat="1" ht="21" customHeight="1" spans="1:7">
      <c r="A140" s="11">
        <v>137</v>
      </c>
      <c r="B140" s="11" t="str">
        <f>"江家乐"</f>
        <v>江家乐</v>
      </c>
      <c r="C140" s="11" t="str">
        <f t="shared" si="7"/>
        <v>女</v>
      </c>
      <c r="D140" s="11" t="s">
        <v>42</v>
      </c>
      <c r="E140" s="11" t="str">
        <f>"20200102927"</f>
        <v>20200102927</v>
      </c>
      <c r="F140" s="12">
        <v>77.4</v>
      </c>
      <c r="G140" s="11" t="s">
        <v>10</v>
      </c>
    </row>
    <row r="141" s="2" customFormat="1" ht="21" customHeight="1" spans="1:7">
      <c r="A141" s="11">
        <v>138</v>
      </c>
      <c r="B141" s="11" t="str">
        <f>"彭乐平"</f>
        <v>彭乐平</v>
      </c>
      <c r="C141" s="11" t="str">
        <f t="shared" si="7"/>
        <v>女</v>
      </c>
      <c r="D141" s="11" t="s">
        <v>42</v>
      </c>
      <c r="E141" s="11" t="str">
        <f>"20200103520"</f>
        <v>20200103520</v>
      </c>
      <c r="F141" s="12">
        <v>77.4</v>
      </c>
      <c r="G141" s="11" t="s">
        <v>10</v>
      </c>
    </row>
    <row r="142" s="2" customFormat="1" ht="21" customHeight="1" spans="1:7">
      <c r="A142" s="11">
        <v>139</v>
      </c>
      <c r="B142" s="11" t="str">
        <f>"张碧琦"</f>
        <v>张碧琦</v>
      </c>
      <c r="C142" s="11" t="str">
        <f t="shared" si="7"/>
        <v>女</v>
      </c>
      <c r="D142" s="11" t="s">
        <v>42</v>
      </c>
      <c r="E142" s="11" t="str">
        <f>"20200104224"</f>
        <v>20200104224</v>
      </c>
      <c r="F142" s="12">
        <v>77.1</v>
      </c>
      <c r="G142" s="11" t="s">
        <v>10</v>
      </c>
    </row>
    <row r="143" s="2" customFormat="1" ht="21" customHeight="1" spans="1:7">
      <c r="A143" s="11">
        <v>140</v>
      </c>
      <c r="B143" s="11" t="str">
        <f>"邓敏"</f>
        <v>邓敏</v>
      </c>
      <c r="C143" s="11" t="str">
        <f t="shared" si="7"/>
        <v>女</v>
      </c>
      <c r="D143" s="11" t="s">
        <v>42</v>
      </c>
      <c r="E143" s="11" t="str">
        <f>"20200108119"</f>
        <v>20200108119</v>
      </c>
      <c r="F143" s="12">
        <v>76.75</v>
      </c>
      <c r="G143" s="11" t="s">
        <v>10</v>
      </c>
    </row>
    <row r="144" s="2" customFormat="1" ht="21" customHeight="1" spans="1:7">
      <c r="A144" s="11">
        <v>141</v>
      </c>
      <c r="B144" s="11" t="str">
        <f>"黄建云"</f>
        <v>黄建云</v>
      </c>
      <c r="C144" s="11" t="str">
        <f t="shared" si="7"/>
        <v>女</v>
      </c>
      <c r="D144" s="11" t="s">
        <v>42</v>
      </c>
      <c r="E144" s="11" t="str">
        <f>"20200106028"</f>
        <v>20200106028</v>
      </c>
      <c r="F144" s="12">
        <v>76.7</v>
      </c>
      <c r="G144" s="11" t="s">
        <v>10</v>
      </c>
    </row>
    <row r="145" s="2" customFormat="1" ht="21" customHeight="1" spans="1:7">
      <c r="A145" s="11">
        <v>142</v>
      </c>
      <c r="B145" s="11" t="str">
        <f>"匡艳丰"</f>
        <v>匡艳丰</v>
      </c>
      <c r="C145" s="11" t="str">
        <f t="shared" si="7"/>
        <v>女</v>
      </c>
      <c r="D145" s="11" t="s">
        <v>42</v>
      </c>
      <c r="E145" s="11" t="str">
        <f>"20200105315"</f>
        <v>20200105315</v>
      </c>
      <c r="F145" s="12">
        <v>76.65</v>
      </c>
      <c r="G145" s="11" t="s">
        <v>10</v>
      </c>
    </row>
    <row r="146" s="2" customFormat="1" ht="21" customHeight="1" spans="1:7">
      <c r="A146" s="11">
        <v>143</v>
      </c>
      <c r="B146" s="11" t="str">
        <f>"吴诗雨"</f>
        <v>吴诗雨</v>
      </c>
      <c r="C146" s="11" t="str">
        <f t="shared" si="7"/>
        <v>女</v>
      </c>
      <c r="D146" s="11" t="s">
        <v>42</v>
      </c>
      <c r="E146" s="11" t="str">
        <f>"20200105419"</f>
        <v>20200105419</v>
      </c>
      <c r="F146" s="12">
        <v>76.5</v>
      </c>
      <c r="G146" s="11" t="s">
        <v>10</v>
      </c>
    </row>
    <row r="147" s="2" customFormat="1" ht="21" customHeight="1" spans="1:7">
      <c r="A147" s="11">
        <v>144</v>
      </c>
      <c r="B147" s="11" t="str">
        <f>"王淑英"</f>
        <v>王淑英</v>
      </c>
      <c r="C147" s="11" t="str">
        <f t="shared" si="7"/>
        <v>女</v>
      </c>
      <c r="D147" s="11" t="s">
        <v>42</v>
      </c>
      <c r="E147" s="11" t="str">
        <f>"20200104703"</f>
        <v>20200104703</v>
      </c>
      <c r="F147" s="12">
        <v>76.45</v>
      </c>
      <c r="G147" s="11" t="s">
        <v>10</v>
      </c>
    </row>
    <row r="148" s="2" customFormat="1" ht="21" customHeight="1" spans="1:7">
      <c r="A148" s="11">
        <v>145</v>
      </c>
      <c r="B148" s="11" t="str">
        <f>"刘岚"</f>
        <v>刘岚</v>
      </c>
      <c r="C148" s="11" t="str">
        <f t="shared" si="7"/>
        <v>女</v>
      </c>
      <c r="D148" s="11" t="s">
        <v>42</v>
      </c>
      <c r="E148" s="11" t="str">
        <f>"20200103325"</f>
        <v>20200103325</v>
      </c>
      <c r="F148" s="12">
        <v>76.4</v>
      </c>
      <c r="G148" s="11" t="s">
        <v>10</v>
      </c>
    </row>
    <row r="149" s="2" customFormat="1" ht="21" customHeight="1" spans="1:7">
      <c r="A149" s="11">
        <v>146</v>
      </c>
      <c r="B149" s="11" t="str">
        <f>"邓岚"</f>
        <v>邓岚</v>
      </c>
      <c r="C149" s="11" t="str">
        <f t="shared" si="7"/>
        <v>女</v>
      </c>
      <c r="D149" s="11" t="s">
        <v>42</v>
      </c>
      <c r="E149" s="11" t="str">
        <f>"20200105501"</f>
        <v>20200105501</v>
      </c>
      <c r="F149" s="12">
        <v>76.4</v>
      </c>
      <c r="G149" s="11" t="s">
        <v>10</v>
      </c>
    </row>
    <row r="150" s="2" customFormat="1" ht="21" customHeight="1" spans="1:7">
      <c r="A150" s="11">
        <v>147</v>
      </c>
      <c r="B150" s="11" t="str">
        <f>"王笑笑"</f>
        <v>王笑笑</v>
      </c>
      <c r="C150" s="11" t="str">
        <f t="shared" si="7"/>
        <v>女</v>
      </c>
      <c r="D150" s="11" t="s">
        <v>42</v>
      </c>
      <c r="E150" s="11" t="str">
        <f>"20200105309"</f>
        <v>20200105309</v>
      </c>
      <c r="F150" s="12">
        <v>76.25</v>
      </c>
      <c r="G150" s="11" t="s">
        <v>10</v>
      </c>
    </row>
    <row r="151" s="2" customFormat="1" ht="21" customHeight="1" spans="1:7">
      <c r="A151" s="11">
        <v>148</v>
      </c>
      <c r="B151" s="11" t="str">
        <f>"周素华"</f>
        <v>周素华</v>
      </c>
      <c r="C151" s="11" t="str">
        <f t="shared" si="7"/>
        <v>女</v>
      </c>
      <c r="D151" s="11" t="s">
        <v>42</v>
      </c>
      <c r="E151" s="11" t="str">
        <f>"20200105425"</f>
        <v>20200105425</v>
      </c>
      <c r="F151" s="12">
        <v>76.25</v>
      </c>
      <c r="G151" s="11" t="s">
        <v>10</v>
      </c>
    </row>
    <row r="152" s="2" customFormat="1" ht="21" customHeight="1" spans="1:7">
      <c r="A152" s="11">
        <v>149</v>
      </c>
      <c r="B152" s="11" t="str">
        <f>"胡映"</f>
        <v>胡映</v>
      </c>
      <c r="C152" s="11" t="str">
        <f t="shared" si="7"/>
        <v>女</v>
      </c>
      <c r="D152" s="11" t="s">
        <v>42</v>
      </c>
      <c r="E152" s="11" t="str">
        <f>"20200107802"</f>
        <v>20200107802</v>
      </c>
      <c r="F152" s="12">
        <v>76.25</v>
      </c>
      <c r="G152" s="11" t="s">
        <v>10</v>
      </c>
    </row>
    <row r="153" s="2" customFormat="1" ht="21" customHeight="1" spans="1:7">
      <c r="A153" s="11">
        <v>150</v>
      </c>
      <c r="B153" s="11" t="str">
        <f>"唐艳丽"</f>
        <v>唐艳丽</v>
      </c>
      <c r="C153" s="11" t="str">
        <f t="shared" si="7"/>
        <v>女</v>
      </c>
      <c r="D153" s="11" t="s">
        <v>42</v>
      </c>
      <c r="E153" s="11" t="str">
        <f>"20200107620"</f>
        <v>20200107620</v>
      </c>
      <c r="F153" s="12">
        <v>76.2</v>
      </c>
      <c r="G153" s="11" t="s">
        <v>10</v>
      </c>
    </row>
    <row r="154" s="2" customFormat="1" ht="21" customHeight="1" spans="1:7">
      <c r="A154" s="11">
        <v>151</v>
      </c>
      <c r="B154" s="11" t="str">
        <f>"刘慧玲"</f>
        <v>刘慧玲</v>
      </c>
      <c r="C154" s="11" t="str">
        <f t="shared" si="7"/>
        <v>女</v>
      </c>
      <c r="D154" s="11" t="s">
        <v>42</v>
      </c>
      <c r="E154" s="11" t="str">
        <f>"20200103010"</f>
        <v>20200103010</v>
      </c>
      <c r="F154" s="12">
        <v>76.15</v>
      </c>
      <c r="G154" s="11" t="s">
        <v>10</v>
      </c>
    </row>
    <row r="155" s="2" customFormat="1" ht="21" customHeight="1" spans="1:7">
      <c r="A155" s="11">
        <v>152</v>
      </c>
      <c r="B155" s="11" t="str">
        <f>"陈文霞"</f>
        <v>陈文霞</v>
      </c>
      <c r="C155" s="11" t="str">
        <f t="shared" si="7"/>
        <v>女</v>
      </c>
      <c r="D155" s="11" t="s">
        <v>42</v>
      </c>
      <c r="E155" s="11" t="str">
        <f>"20200103426"</f>
        <v>20200103426</v>
      </c>
      <c r="F155" s="12">
        <v>76.1</v>
      </c>
      <c r="G155" s="11" t="s">
        <v>10</v>
      </c>
    </row>
    <row r="156" s="2" customFormat="1" ht="21" customHeight="1" spans="1:7">
      <c r="A156" s="11">
        <v>153</v>
      </c>
      <c r="B156" s="11" t="str">
        <f>"邓珊"</f>
        <v>邓珊</v>
      </c>
      <c r="C156" s="11" t="str">
        <f t="shared" si="7"/>
        <v>女</v>
      </c>
      <c r="D156" s="11" t="s">
        <v>42</v>
      </c>
      <c r="E156" s="11" t="str">
        <f>"20200104329"</f>
        <v>20200104329</v>
      </c>
      <c r="F156" s="12">
        <v>76</v>
      </c>
      <c r="G156" s="11" t="s">
        <v>10</v>
      </c>
    </row>
    <row r="157" s="2" customFormat="1" ht="21" customHeight="1" spans="1:7">
      <c r="A157" s="11">
        <v>154</v>
      </c>
      <c r="B157" s="11" t="str">
        <f>"黄聂洋"</f>
        <v>黄聂洋</v>
      </c>
      <c r="C157" s="11" t="str">
        <f t="shared" si="7"/>
        <v>女</v>
      </c>
      <c r="D157" s="11" t="s">
        <v>42</v>
      </c>
      <c r="E157" s="11" t="str">
        <f>"20200103629"</f>
        <v>20200103629</v>
      </c>
      <c r="F157" s="12">
        <v>75.9</v>
      </c>
      <c r="G157" s="11" t="s">
        <v>10</v>
      </c>
    </row>
    <row r="158" s="2" customFormat="1" ht="21" customHeight="1" spans="1:7">
      <c r="A158" s="11">
        <v>155</v>
      </c>
      <c r="B158" s="11" t="str">
        <f>"蒋莎莎"</f>
        <v>蒋莎莎</v>
      </c>
      <c r="C158" s="11" t="str">
        <f t="shared" si="7"/>
        <v>女</v>
      </c>
      <c r="D158" s="11" t="s">
        <v>42</v>
      </c>
      <c r="E158" s="11" t="str">
        <f>"20200108505"</f>
        <v>20200108505</v>
      </c>
      <c r="F158" s="12">
        <v>75.8</v>
      </c>
      <c r="G158" s="11" t="s">
        <v>10</v>
      </c>
    </row>
    <row r="159" s="2" customFormat="1" ht="21" customHeight="1" spans="1:7">
      <c r="A159" s="11">
        <v>156</v>
      </c>
      <c r="B159" s="11" t="str">
        <f>"陈穗"</f>
        <v>陈穗</v>
      </c>
      <c r="C159" s="11" t="str">
        <f t="shared" si="7"/>
        <v>女</v>
      </c>
      <c r="D159" s="11" t="s">
        <v>42</v>
      </c>
      <c r="E159" s="11" t="str">
        <f>"20200104803"</f>
        <v>20200104803</v>
      </c>
      <c r="F159" s="12">
        <v>75.75</v>
      </c>
      <c r="G159" s="11" t="s">
        <v>10</v>
      </c>
    </row>
    <row r="160" s="2" customFormat="1" ht="21" customHeight="1" spans="1:7">
      <c r="A160" s="11">
        <v>157</v>
      </c>
      <c r="B160" s="11" t="str">
        <f>"石飞"</f>
        <v>石飞</v>
      </c>
      <c r="C160" s="11" t="str">
        <f t="shared" si="7"/>
        <v>女</v>
      </c>
      <c r="D160" s="11" t="s">
        <v>42</v>
      </c>
      <c r="E160" s="11" t="str">
        <f>"20200105924"</f>
        <v>20200105924</v>
      </c>
      <c r="F160" s="12">
        <v>75.75</v>
      </c>
      <c r="G160" s="11" t="s">
        <v>10</v>
      </c>
    </row>
    <row r="161" s="2" customFormat="1" ht="21" customHeight="1" spans="1:7">
      <c r="A161" s="11">
        <v>158</v>
      </c>
      <c r="B161" s="11" t="str">
        <f>"肖玉梅"</f>
        <v>肖玉梅</v>
      </c>
      <c r="C161" s="11" t="str">
        <f t="shared" si="7"/>
        <v>女</v>
      </c>
      <c r="D161" s="11" t="s">
        <v>42</v>
      </c>
      <c r="E161" s="11" t="str">
        <f>"20200106814"</f>
        <v>20200106814</v>
      </c>
      <c r="F161" s="12">
        <v>75.75</v>
      </c>
      <c r="G161" s="11" t="s">
        <v>10</v>
      </c>
    </row>
    <row r="162" s="2" customFormat="1" ht="21" customHeight="1" spans="1:7">
      <c r="A162" s="11">
        <v>159</v>
      </c>
      <c r="B162" s="11" t="str">
        <f>"李皝艳"</f>
        <v>李皝艳</v>
      </c>
      <c r="C162" s="11" t="str">
        <f t="shared" ref="C162:C174" si="8">"女"</f>
        <v>女</v>
      </c>
      <c r="D162" s="11" t="s">
        <v>42</v>
      </c>
      <c r="E162" s="11" t="str">
        <f>"20200103121"</f>
        <v>20200103121</v>
      </c>
      <c r="F162" s="12">
        <v>75.65</v>
      </c>
      <c r="G162" s="11" t="s">
        <v>10</v>
      </c>
    </row>
    <row r="163" s="2" customFormat="1" ht="21" customHeight="1" spans="1:7">
      <c r="A163" s="11">
        <v>160</v>
      </c>
      <c r="B163" s="11" t="str">
        <f>"钟梦洁"</f>
        <v>钟梦洁</v>
      </c>
      <c r="C163" s="11" t="str">
        <f t="shared" si="8"/>
        <v>女</v>
      </c>
      <c r="D163" s="11" t="s">
        <v>42</v>
      </c>
      <c r="E163" s="11" t="str">
        <f>"20200103712"</f>
        <v>20200103712</v>
      </c>
      <c r="F163" s="12">
        <v>75.65</v>
      </c>
      <c r="G163" s="11" t="s">
        <v>10</v>
      </c>
    </row>
    <row r="164" s="2" customFormat="1" ht="21" customHeight="1" spans="1:7">
      <c r="A164" s="11">
        <v>161</v>
      </c>
      <c r="B164" s="11" t="str">
        <f>"段思琪"</f>
        <v>段思琪</v>
      </c>
      <c r="C164" s="11" t="str">
        <f t="shared" si="8"/>
        <v>女</v>
      </c>
      <c r="D164" s="11" t="s">
        <v>42</v>
      </c>
      <c r="E164" s="11" t="str">
        <f>"20200103701"</f>
        <v>20200103701</v>
      </c>
      <c r="F164" s="12">
        <v>75.6</v>
      </c>
      <c r="G164" s="11" t="s">
        <v>10</v>
      </c>
    </row>
    <row r="165" s="2" customFormat="1" ht="21" customHeight="1" spans="1:7">
      <c r="A165" s="11">
        <v>162</v>
      </c>
      <c r="B165" s="11" t="str">
        <f>"李双翼"</f>
        <v>李双翼</v>
      </c>
      <c r="C165" s="11" t="str">
        <f t="shared" si="8"/>
        <v>女</v>
      </c>
      <c r="D165" s="11" t="s">
        <v>42</v>
      </c>
      <c r="E165" s="11" t="str">
        <f>"20200104917"</f>
        <v>20200104917</v>
      </c>
      <c r="F165" s="12">
        <v>75.6</v>
      </c>
      <c r="G165" s="11" t="s">
        <v>10</v>
      </c>
    </row>
    <row r="166" s="2" customFormat="1" ht="21" customHeight="1" spans="1:7">
      <c r="A166" s="11">
        <v>163</v>
      </c>
      <c r="B166" s="11" t="str">
        <f>"唐时婷"</f>
        <v>唐时婷</v>
      </c>
      <c r="C166" s="11" t="str">
        <f t="shared" si="8"/>
        <v>女</v>
      </c>
      <c r="D166" s="11" t="s">
        <v>42</v>
      </c>
      <c r="E166" s="11" t="str">
        <f>"20200103408"</f>
        <v>20200103408</v>
      </c>
      <c r="F166" s="12">
        <v>75.55</v>
      </c>
      <c r="G166" s="11" t="s">
        <v>10</v>
      </c>
    </row>
    <row r="167" s="2" customFormat="1" ht="21" customHeight="1" spans="1:7">
      <c r="A167" s="11">
        <v>164</v>
      </c>
      <c r="B167" s="11" t="str">
        <f>"张宋兰"</f>
        <v>张宋兰</v>
      </c>
      <c r="C167" s="11" t="str">
        <f t="shared" si="8"/>
        <v>女</v>
      </c>
      <c r="D167" s="11" t="s">
        <v>42</v>
      </c>
      <c r="E167" s="11" t="str">
        <f>"20200105307"</f>
        <v>20200105307</v>
      </c>
      <c r="F167" s="12">
        <v>75.55</v>
      </c>
      <c r="G167" s="11" t="s">
        <v>10</v>
      </c>
    </row>
    <row r="168" s="2" customFormat="1" ht="21" customHeight="1" spans="1:7">
      <c r="A168" s="11">
        <v>165</v>
      </c>
      <c r="B168" s="11" t="str">
        <f>"黄雅琴"</f>
        <v>黄雅琴</v>
      </c>
      <c r="C168" s="11" t="str">
        <f t="shared" si="8"/>
        <v>女</v>
      </c>
      <c r="D168" s="11" t="s">
        <v>42</v>
      </c>
      <c r="E168" s="11" t="str">
        <f>"20200107519"</f>
        <v>20200107519</v>
      </c>
      <c r="F168" s="12">
        <v>75.55</v>
      </c>
      <c r="G168" s="11" t="s">
        <v>10</v>
      </c>
    </row>
    <row r="169" s="2" customFormat="1" ht="21" customHeight="1" spans="1:7">
      <c r="A169" s="11">
        <v>166</v>
      </c>
      <c r="B169" s="13" t="str">
        <f>"彭畅"</f>
        <v>彭畅</v>
      </c>
      <c r="C169" s="13" t="str">
        <f t="shared" si="8"/>
        <v>女</v>
      </c>
      <c r="D169" s="11" t="s">
        <v>42</v>
      </c>
      <c r="E169" s="11" t="str">
        <f>"20200103402"</f>
        <v>20200103402</v>
      </c>
      <c r="F169" s="12">
        <v>75.45</v>
      </c>
      <c r="G169" s="11" t="s">
        <v>10</v>
      </c>
    </row>
    <row r="170" s="2" customFormat="1" ht="21" customHeight="1" spans="1:7">
      <c r="A170" s="11">
        <v>167</v>
      </c>
      <c r="B170" s="13" t="str">
        <f>"彭毅"</f>
        <v>彭毅</v>
      </c>
      <c r="C170" s="13" t="str">
        <f t="shared" si="8"/>
        <v>女</v>
      </c>
      <c r="D170" s="11" t="s">
        <v>42</v>
      </c>
      <c r="E170" s="11" t="str">
        <f>"20200106505"</f>
        <v>20200106505</v>
      </c>
      <c r="F170" s="12">
        <v>75.35</v>
      </c>
      <c r="G170" s="11" t="s">
        <v>10</v>
      </c>
    </row>
    <row r="171" s="2" customFormat="1" ht="21" customHeight="1" spans="1:7">
      <c r="A171" s="11">
        <v>168</v>
      </c>
      <c r="B171" s="13" t="str">
        <f>"马俊"</f>
        <v>马俊</v>
      </c>
      <c r="C171" s="13" t="str">
        <f t="shared" si="8"/>
        <v>女</v>
      </c>
      <c r="D171" s="11" t="s">
        <v>42</v>
      </c>
      <c r="E171" s="11" t="str">
        <f>"20200107303"</f>
        <v>20200107303</v>
      </c>
      <c r="F171" s="12">
        <v>75.35</v>
      </c>
      <c r="G171" s="11" t="s">
        <v>10</v>
      </c>
    </row>
    <row r="172" s="2" customFormat="1" ht="21" customHeight="1" spans="1:7">
      <c r="A172" s="11">
        <v>169</v>
      </c>
      <c r="B172" s="13" t="str">
        <f>"彭雅捷"</f>
        <v>彭雅捷</v>
      </c>
      <c r="C172" s="13" t="str">
        <f t="shared" si="8"/>
        <v>女</v>
      </c>
      <c r="D172" s="11" t="s">
        <v>42</v>
      </c>
      <c r="E172" s="11" t="str">
        <f>"20200105902"</f>
        <v>20200105902</v>
      </c>
      <c r="F172" s="12">
        <v>75.25</v>
      </c>
      <c r="G172" s="11" t="s">
        <v>10</v>
      </c>
    </row>
    <row r="173" s="2" customFormat="1" ht="21" customHeight="1" spans="1:7">
      <c r="A173" s="11">
        <v>170</v>
      </c>
      <c r="B173" s="13" t="str">
        <f>"马春秀"</f>
        <v>马春秀</v>
      </c>
      <c r="C173" s="13" t="str">
        <f t="shared" si="8"/>
        <v>女</v>
      </c>
      <c r="D173" s="11" t="s">
        <v>42</v>
      </c>
      <c r="E173" s="11" t="str">
        <f>"20200107925"</f>
        <v>20200107925</v>
      </c>
      <c r="F173" s="12">
        <v>75</v>
      </c>
      <c r="G173" s="11" t="s">
        <v>10</v>
      </c>
    </row>
    <row r="174" s="2" customFormat="1" ht="21" customHeight="1" spans="1:7">
      <c r="A174" s="11">
        <v>171</v>
      </c>
      <c r="B174" s="13" t="str">
        <f>"谭晔"</f>
        <v>谭晔</v>
      </c>
      <c r="C174" s="13" t="str">
        <f t="shared" si="8"/>
        <v>女</v>
      </c>
      <c r="D174" s="11" t="s">
        <v>42</v>
      </c>
      <c r="E174" s="11" t="str">
        <f>"20200108309"</f>
        <v>20200108309</v>
      </c>
      <c r="F174" s="12">
        <v>75</v>
      </c>
      <c r="G174" s="11" t="s">
        <v>10</v>
      </c>
    </row>
    <row r="175" s="2" customFormat="1" ht="21" customHeight="1" spans="1:7">
      <c r="A175" s="11">
        <v>172</v>
      </c>
      <c r="B175" s="11" t="str">
        <f>"谢巍"</f>
        <v>谢巍</v>
      </c>
      <c r="C175" s="11" t="str">
        <f t="shared" ref="C175:C184" si="9">"男"</f>
        <v>男</v>
      </c>
      <c r="D175" s="11" t="s">
        <v>43</v>
      </c>
      <c r="E175" s="11" t="str">
        <f>"20200204011"</f>
        <v>20200204011</v>
      </c>
      <c r="F175" s="12">
        <v>93</v>
      </c>
      <c r="G175" s="11" t="s">
        <v>10</v>
      </c>
    </row>
    <row r="176" s="2" customFormat="1" ht="21" customHeight="1" spans="1:7">
      <c r="A176" s="11">
        <v>173</v>
      </c>
      <c r="B176" s="11" t="str">
        <f>"李永勇"</f>
        <v>李永勇</v>
      </c>
      <c r="C176" s="11" t="str">
        <f t="shared" si="9"/>
        <v>男</v>
      </c>
      <c r="D176" s="11" t="s">
        <v>43</v>
      </c>
      <c r="E176" s="11" t="str">
        <f>"20200203916"</f>
        <v>20200203916</v>
      </c>
      <c r="F176" s="12">
        <v>92.6</v>
      </c>
      <c r="G176" s="11" t="s">
        <v>10</v>
      </c>
    </row>
    <row r="177" s="2" customFormat="1" ht="21" customHeight="1" spans="1:7">
      <c r="A177" s="11">
        <v>174</v>
      </c>
      <c r="B177" s="11" t="str">
        <f>"何杰"</f>
        <v>何杰</v>
      </c>
      <c r="C177" s="11" t="str">
        <f t="shared" si="9"/>
        <v>男</v>
      </c>
      <c r="D177" s="11" t="s">
        <v>43</v>
      </c>
      <c r="E177" s="11" t="str">
        <f>"20200204306"</f>
        <v>20200204306</v>
      </c>
      <c r="F177" s="12">
        <v>91.5</v>
      </c>
      <c r="G177" s="11" t="s">
        <v>10</v>
      </c>
    </row>
    <row r="178" s="2" customFormat="1" ht="21" customHeight="1" spans="1:7">
      <c r="A178" s="11">
        <v>175</v>
      </c>
      <c r="B178" s="11" t="str">
        <f>"朱清华"</f>
        <v>朱清华</v>
      </c>
      <c r="C178" s="11" t="str">
        <f t="shared" si="9"/>
        <v>男</v>
      </c>
      <c r="D178" s="11" t="s">
        <v>43</v>
      </c>
      <c r="E178" s="11" t="str">
        <f>"20200204009"</f>
        <v>20200204009</v>
      </c>
      <c r="F178" s="12">
        <v>89.2</v>
      </c>
      <c r="G178" s="11" t="s">
        <v>10</v>
      </c>
    </row>
    <row r="179" s="2" customFormat="1" ht="21" customHeight="1" spans="1:7">
      <c r="A179" s="11">
        <v>176</v>
      </c>
      <c r="B179" s="11" t="str">
        <f>"伍志雄"</f>
        <v>伍志雄</v>
      </c>
      <c r="C179" s="11" t="str">
        <f t="shared" si="9"/>
        <v>男</v>
      </c>
      <c r="D179" s="11" t="s">
        <v>43</v>
      </c>
      <c r="E179" s="11" t="str">
        <f>"20200203930"</f>
        <v>20200203930</v>
      </c>
      <c r="F179" s="12">
        <v>88.6</v>
      </c>
      <c r="G179" s="11" t="s">
        <v>10</v>
      </c>
    </row>
    <row r="180" s="2" customFormat="1" ht="21" customHeight="1" spans="1:7">
      <c r="A180" s="11">
        <v>177</v>
      </c>
      <c r="B180" s="11" t="str">
        <f>"康小群"</f>
        <v>康小群</v>
      </c>
      <c r="C180" s="11" t="str">
        <f t="shared" si="9"/>
        <v>男</v>
      </c>
      <c r="D180" s="11" t="s">
        <v>43</v>
      </c>
      <c r="E180" s="11" t="str">
        <f>"20200204128"</f>
        <v>20200204128</v>
      </c>
      <c r="F180" s="12">
        <v>88.3</v>
      </c>
      <c r="G180" s="11" t="s">
        <v>10</v>
      </c>
    </row>
    <row r="181" s="2" customFormat="1" ht="21" customHeight="1" spans="1:7">
      <c r="A181" s="11">
        <v>178</v>
      </c>
      <c r="B181" s="11" t="str">
        <f>"王闯"</f>
        <v>王闯</v>
      </c>
      <c r="C181" s="11" t="str">
        <f t="shared" si="9"/>
        <v>男</v>
      </c>
      <c r="D181" s="11" t="s">
        <v>43</v>
      </c>
      <c r="E181" s="11" t="str">
        <f>"20200203825"</f>
        <v>20200203825</v>
      </c>
      <c r="F181" s="12">
        <v>87.6</v>
      </c>
      <c r="G181" s="11" t="s">
        <v>10</v>
      </c>
    </row>
    <row r="182" s="2" customFormat="1" ht="21" customHeight="1" spans="1:7">
      <c r="A182" s="11">
        <v>179</v>
      </c>
      <c r="B182" s="11" t="str">
        <f>"吴石梁"</f>
        <v>吴石梁</v>
      </c>
      <c r="C182" s="11" t="str">
        <f t="shared" si="9"/>
        <v>男</v>
      </c>
      <c r="D182" s="11" t="s">
        <v>43</v>
      </c>
      <c r="E182" s="11" t="str">
        <f>"20200204203"</f>
        <v>20200204203</v>
      </c>
      <c r="F182" s="12">
        <v>86.8</v>
      </c>
      <c r="G182" s="11" t="s">
        <v>10</v>
      </c>
    </row>
    <row r="183" s="2" customFormat="1" ht="21" customHeight="1" spans="1:7">
      <c r="A183" s="11">
        <v>180</v>
      </c>
      <c r="B183" s="11" t="str">
        <f>"谢俊"</f>
        <v>谢俊</v>
      </c>
      <c r="C183" s="11" t="str">
        <f t="shared" si="9"/>
        <v>男</v>
      </c>
      <c r="D183" s="11" t="s">
        <v>43</v>
      </c>
      <c r="E183" s="11" t="str">
        <f>"20200203807"</f>
        <v>20200203807</v>
      </c>
      <c r="F183" s="12">
        <v>86.6</v>
      </c>
      <c r="G183" s="11" t="s">
        <v>10</v>
      </c>
    </row>
    <row r="184" s="2" customFormat="1" ht="21" customHeight="1" spans="1:7">
      <c r="A184" s="11">
        <v>181</v>
      </c>
      <c r="B184" s="11" t="str">
        <f>"刘江彪"</f>
        <v>刘江彪</v>
      </c>
      <c r="C184" s="11" t="str">
        <f t="shared" si="9"/>
        <v>男</v>
      </c>
      <c r="D184" s="11" t="s">
        <v>43</v>
      </c>
      <c r="E184" s="11" t="str">
        <f>"20200203926"</f>
        <v>20200203926</v>
      </c>
      <c r="F184" s="12">
        <v>85.5</v>
      </c>
      <c r="G184" s="11" t="s">
        <v>10</v>
      </c>
    </row>
    <row r="185" s="2" customFormat="1" ht="21" customHeight="1" spans="1:7">
      <c r="A185" s="11">
        <v>182</v>
      </c>
      <c r="B185" s="11" t="str">
        <f>"戴尚晟"</f>
        <v>戴尚晟</v>
      </c>
      <c r="C185" s="11" t="str">
        <f t="shared" ref="C185:C191" si="10">"男"</f>
        <v>男</v>
      </c>
      <c r="D185" s="11" t="s">
        <v>43</v>
      </c>
      <c r="E185" s="11" t="str">
        <f>"20200204211"</f>
        <v>20200204211</v>
      </c>
      <c r="F185" s="12">
        <v>85.2</v>
      </c>
      <c r="G185" s="11" t="s">
        <v>10</v>
      </c>
    </row>
    <row r="186" s="2" customFormat="1" ht="21" customHeight="1" spans="1:7">
      <c r="A186" s="11">
        <v>183</v>
      </c>
      <c r="B186" s="11" t="str">
        <f>"申坤浩"</f>
        <v>申坤浩</v>
      </c>
      <c r="C186" s="11" t="str">
        <f t="shared" si="10"/>
        <v>男</v>
      </c>
      <c r="D186" s="11" t="s">
        <v>43</v>
      </c>
      <c r="E186" s="11" t="str">
        <f>"20200204217"</f>
        <v>20200204217</v>
      </c>
      <c r="F186" s="12">
        <v>84.7</v>
      </c>
      <c r="G186" s="11" t="s">
        <v>10</v>
      </c>
    </row>
    <row r="187" s="2" customFormat="1" ht="21" customHeight="1" spans="1:7">
      <c r="A187" s="11">
        <v>184</v>
      </c>
      <c r="B187" s="11" t="str">
        <f>"李文"</f>
        <v>李文</v>
      </c>
      <c r="C187" s="11" t="str">
        <f t="shared" si="10"/>
        <v>男</v>
      </c>
      <c r="D187" s="11" t="s">
        <v>43</v>
      </c>
      <c r="E187" s="11" t="str">
        <f>"20200204210"</f>
        <v>20200204210</v>
      </c>
      <c r="F187" s="12">
        <v>84.2</v>
      </c>
      <c r="G187" s="11" t="s">
        <v>10</v>
      </c>
    </row>
    <row r="188" s="2" customFormat="1" ht="21" customHeight="1" spans="1:7">
      <c r="A188" s="11">
        <v>185</v>
      </c>
      <c r="B188" s="11" t="str">
        <f>"李朝阳"</f>
        <v>李朝阳</v>
      </c>
      <c r="C188" s="11" t="str">
        <f t="shared" si="10"/>
        <v>男</v>
      </c>
      <c r="D188" s="11" t="s">
        <v>43</v>
      </c>
      <c r="E188" s="11" t="str">
        <f>"20200204010"</f>
        <v>20200204010</v>
      </c>
      <c r="F188" s="12">
        <v>82.8</v>
      </c>
      <c r="G188" s="11" t="s">
        <v>10</v>
      </c>
    </row>
    <row r="189" s="2" customFormat="1" ht="21" customHeight="1" spans="1:7">
      <c r="A189" s="11">
        <v>186</v>
      </c>
      <c r="B189" s="11" t="str">
        <f>"曹来桂"</f>
        <v>曹来桂</v>
      </c>
      <c r="C189" s="11" t="str">
        <f t="shared" si="10"/>
        <v>男</v>
      </c>
      <c r="D189" s="11" t="s">
        <v>43</v>
      </c>
      <c r="E189" s="11" t="str">
        <f>"20200203828"</f>
        <v>20200203828</v>
      </c>
      <c r="F189" s="12">
        <v>81.2</v>
      </c>
      <c r="G189" s="11" t="s">
        <v>10</v>
      </c>
    </row>
    <row r="190" s="2" customFormat="1" ht="21" customHeight="1" spans="1:7">
      <c r="A190" s="11">
        <v>187</v>
      </c>
      <c r="B190" s="11" t="str">
        <f>"王孔刚"</f>
        <v>王孔刚</v>
      </c>
      <c r="C190" s="11" t="str">
        <f t="shared" si="10"/>
        <v>男</v>
      </c>
      <c r="D190" s="11" t="s">
        <v>43</v>
      </c>
      <c r="E190" s="11" t="str">
        <f>"20200203821"</f>
        <v>20200203821</v>
      </c>
      <c r="F190" s="12">
        <v>80.8</v>
      </c>
      <c r="G190" s="11" t="s">
        <v>10</v>
      </c>
    </row>
    <row r="191" s="2" customFormat="1" ht="21" customHeight="1" spans="1:7">
      <c r="A191" s="11">
        <v>188</v>
      </c>
      <c r="B191" s="13" t="str">
        <f>"唐柳清"</f>
        <v>唐柳清</v>
      </c>
      <c r="C191" s="13" t="str">
        <f t="shared" si="10"/>
        <v>男</v>
      </c>
      <c r="D191" s="11" t="s">
        <v>43</v>
      </c>
      <c r="E191" s="11" t="str">
        <f>"20200203816"</f>
        <v>20200203816</v>
      </c>
      <c r="F191" s="12">
        <v>80.7</v>
      </c>
      <c r="G191" s="11" t="s">
        <v>10</v>
      </c>
    </row>
    <row r="192" s="2" customFormat="1" ht="21" customHeight="1" spans="1:7">
      <c r="A192" s="11">
        <v>189</v>
      </c>
      <c r="B192" s="11" t="str">
        <f>"邓立梅"</f>
        <v>邓立梅</v>
      </c>
      <c r="C192" s="11" t="str">
        <f t="shared" ref="C192:C202" si="11">"女"</f>
        <v>女</v>
      </c>
      <c r="D192" s="11" t="s">
        <v>44</v>
      </c>
      <c r="E192" s="11" t="str">
        <f>"20200207708"</f>
        <v>20200207708</v>
      </c>
      <c r="F192" s="16" t="s">
        <v>24</v>
      </c>
      <c r="G192" s="11" t="s">
        <v>10</v>
      </c>
    </row>
    <row r="193" s="2" customFormat="1" ht="21" customHeight="1" spans="1:7">
      <c r="A193" s="11">
        <v>190</v>
      </c>
      <c r="B193" s="11" t="str">
        <f>"苏丽"</f>
        <v>苏丽</v>
      </c>
      <c r="C193" s="11" t="str">
        <f t="shared" si="11"/>
        <v>女</v>
      </c>
      <c r="D193" s="11" t="s">
        <v>44</v>
      </c>
      <c r="E193" s="11" t="str">
        <f>"20200206916"</f>
        <v>20200206916</v>
      </c>
      <c r="F193" s="12">
        <v>95.5</v>
      </c>
      <c r="G193" s="11" t="s">
        <v>10</v>
      </c>
    </row>
    <row r="194" s="2" customFormat="1" ht="21" customHeight="1" spans="1:7">
      <c r="A194" s="11">
        <v>191</v>
      </c>
      <c r="B194" s="11" t="str">
        <f>"晏骁"</f>
        <v>晏骁</v>
      </c>
      <c r="C194" s="11" t="str">
        <f t="shared" si="11"/>
        <v>女</v>
      </c>
      <c r="D194" s="11" t="s">
        <v>44</v>
      </c>
      <c r="E194" s="11" t="str">
        <f>"20200205904"</f>
        <v>20200205904</v>
      </c>
      <c r="F194" s="12">
        <v>95.2</v>
      </c>
      <c r="G194" s="11" t="s">
        <v>10</v>
      </c>
    </row>
    <row r="195" s="2" customFormat="1" ht="21" customHeight="1" spans="1:7">
      <c r="A195" s="11">
        <v>192</v>
      </c>
      <c r="B195" s="11" t="str">
        <f>"贺诗娉"</f>
        <v>贺诗娉</v>
      </c>
      <c r="C195" s="11" t="str">
        <f t="shared" si="11"/>
        <v>女</v>
      </c>
      <c r="D195" s="11" t="s">
        <v>44</v>
      </c>
      <c r="E195" s="11" t="str">
        <f>"20200207814"</f>
        <v>20200207814</v>
      </c>
      <c r="F195" s="12">
        <v>95</v>
      </c>
      <c r="G195" s="11" t="s">
        <v>10</v>
      </c>
    </row>
    <row r="196" s="2" customFormat="1" ht="21" customHeight="1" spans="1:7">
      <c r="A196" s="11">
        <v>193</v>
      </c>
      <c r="B196" s="11" t="str">
        <f>"陈波"</f>
        <v>陈波</v>
      </c>
      <c r="C196" s="11" t="str">
        <f t="shared" si="11"/>
        <v>女</v>
      </c>
      <c r="D196" s="11" t="s">
        <v>44</v>
      </c>
      <c r="E196" s="11" t="str">
        <f>"20200205810"</f>
        <v>20200205810</v>
      </c>
      <c r="F196" s="12">
        <v>94.6</v>
      </c>
      <c r="G196" s="11" t="s">
        <v>10</v>
      </c>
    </row>
    <row r="197" s="2" customFormat="1" ht="21" customHeight="1" spans="1:7">
      <c r="A197" s="11">
        <v>194</v>
      </c>
      <c r="B197" s="11" t="str">
        <f>"何娟"</f>
        <v>何娟</v>
      </c>
      <c r="C197" s="11" t="str">
        <f t="shared" si="11"/>
        <v>女</v>
      </c>
      <c r="D197" s="11" t="s">
        <v>44</v>
      </c>
      <c r="E197" s="11" t="str">
        <f>"20200207723"</f>
        <v>20200207723</v>
      </c>
      <c r="F197" s="12">
        <v>94.2</v>
      </c>
      <c r="G197" s="11" t="s">
        <v>10</v>
      </c>
    </row>
    <row r="198" s="2" customFormat="1" ht="21" customHeight="1" spans="1:7">
      <c r="A198" s="11">
        <v>195</v>
      </c>
      <c r="B198" s="11" t="str">
        <f>"易辉"</f>
        <v>易辉</v>
      </c>
      <c r="C198" s="11" t="str">
        <f t="shared" si="11"/>
        <v>女</v>
      </c>
      <c r="D198" s="11" t="s">
        <v>44</v>
      </c>
      <c r="E198" s="11" t="str">
        <f>"20200204919"</f>
        <v>20200204919</v>
      </c>
      <c r="F198" s="12">
        <v>94</v>
      </c>
      <c r="G198" s="11" t="s">
        <v>10</v>
      </c>
    </row>
    <row r="199" s="2" customFormat="1" ht="21" customHeight="1" spans="1:7">
      <c r="A199" s="11">
        <v>196</v>
      </c>
      <c r="B199" s="11" t="str">
        <f>"刘丽文"</f>
        <v>刘丽文</v>
      </c>
      <c r="C199" s="11" t="str">
        <f t="shared" si="11"/>
        <v>女</v>
      </c>
      <c r="D199" s="11" t="s">
        <v>44</v>
      </c>
      <c r="E199" s="11" t="str">
        <f>"20200204528"</f>
        <v>20200204528</v>
      </c>
      <c r="F199" s="12">
        <v>91.2</v>
      </c>
      <c r="G199" s="11" t="s">
        <v>10</v>
      </c>
    </row>
    <row r="200" s="2" customFormat="1" ht="21" customHeight="1" spans="1:7">
      <c r="A200" s="11">
        <v>197</v>
      </c>
      <c r="B200" s="11" t="str">
        <f>"颜琰"</f>
        <v>颜琰</v>
      </c>
      <c r="C200" s="11" t="str">
        <f t="shared" si="11"/>
        <v>女</v>
      </c>
      <c r="D200" s="11" t="s">
        <v>44</v>
      </c>
      <c r="E200" s="11" t="str">
        <f>"20200207812"</f>
        <v>20200207812</v>
      </c>
      <c r="F200" s="12">
        <v>91.2</v>
      </c>
      <c r="G200" s="11" t="s">
        <v>10</v>
      </c>
    </row>
    <row r="201" s="2" customFormat="1" ht="21" customHeight="1" spans="1:7">
      <c r="A201" s="11">
        <v>198</v>
      </c>
      <c r="B201" s="11" t="str">
        <f>"彭璐"</f>
        <v>彭璐</v>
      </c>
      <c r="C201" s="11" t="str">
        <f t="shared" si="11"/>
        <v>女</v>
      </c>
      <c r="D201" s="11" t="s">
        <v>44</v>
      </c>
      <c r="E201" s="11" t="str">
        <f>"20200205729"</f>
        <v>20200205729</v>
      </c>
      <c r="F201" s="12">
        <v>91.1</v>
      </c>
      <c r="G201" s="11" t="s">
        <v>10</v>
      </c>
    </row>
    <row r="202" s="2" customFormat="1" ht="21" customHeight="1" spans="1:7">
      <c r="A202" s="11">
        <v>199</v>
      </c>
      <c r="B202" s="11" t="str">
        <f>"张心悦"</f>
        <v>张心悦</v>
      </c>
      <c r="C202" s="11" t="str">
        <f t="shared" si="11"/>
        <v>女</v>
      </c>
      <c r="D202" s="11" t="s">
        <v>44</v>
      </c>
      <c r="E202" s="11" t="str">
        <f>"20200205123"</f>
        <v>20200205123</v>
      </c>
      <c r="F202" s="12">
        <v>90.6</v>
      </c>
      <c r="G202" s="11" t="s">
        <v>10</v>
      </c>
    </row>
    <row r="203" s="2" customFormat="1" ht="21" customHeight="1" spans="1:7">
      <c r="A203" s="11">
        <v>200</v>
      </c>
      <c r="B203" s="11" t="str">
        <f>"邓敏"</f>
        <v>邓敏</v>
      </c>
      <c r="C203" s="11" t="str">
        <f t="shared" ref="C203:C236" si="12">"女"</f>
        <v>女</v>
      </c>
      <c r="D203" s="11" t="s">
        <v>44</v>
      </c>
      <c r="E203" s="11" t="str">
        <f>"20200207715"</f>
        <v>20200207715</v>
      </c>
      <c r="F203" s="12">
        <v>90.5</v>
      </c>
      <c r="G203" s="11" t="s">
        <v>10</v>
      </c>
    </row>
    <row r="204" s="2" customFormat="1" ht="21" customHeight="1" spans="1:7">
      <c r="A204" s="11">
        <v>201</v>
      </c>
      <c r="B204" s="11" t="str">
        <f>"陈梦莲"</f>
        <v>陈梦莲</v>
      </c>
      <c r="C204" s="11" t="str">
        <f t="shared" si="12"/>
        <v>女</v>
      </c>
      <c r="D204" s="11" t="s">
        <v>44</v>
      </c>
      <c r="E204" s="11" t="str">
        <f>"20200206214"</f>
        <v>20200206214</v>
      </c>
      <c r="F204" s="12">
        <v>90.2</v>
      </c>
      <c r="G204" s="11" t="s">
        <v>10</v>
      </c>
    </row>
    <row r="205" s="2" customFormat="1" ht="21" customHeight="1" spans="1:7">
      <c r="A205" s="11">
        <v>202</v>
      </c>
      <c r="B205" s="11" t="str">
        <f>"廖馨姣"</f>
        <v>廖馨姣</v>
      </c>
      <c r="C205" s="11" t="str">
        <f t="shared" si="12"/>
        <v>女</v>
      </c>
      <c r="D205" s="11" t="s">
        <v>44</v>
      </c>
      <c r="E205" s="11" t="str">
        <f>"20200206626"</f>
        <v>20200206626</v>
      </c>
      <c r="F205" s="12">
        <v>89.7</v>
      </c>
      <c r="G205" s="11" t="s">
        <v>10</v>
      </c>
    </row>
    <row r="206" s="2" customFormat="1" ht="21" customHeight="1" spans="1:7">
      <c r="A206" s="11">
        <v>203</v>
      </c>
      <c r="B206" s="11" t="str">
        <f>"李璐"</f>
        <v>李璐</v>
      </c>
      <c r="C206" s="11" t="str">
        <f t="shared" si="12"/>
        <v>女</v>
      </c>
      <c r="D206" s="11" t="s">
        <v>44</v>
      </c>
      <c r="E206" s="11" t="str">
        <f>"20200207928"</f>
        <v>20200207928</v>
      </c>
      <c r="F206" s="12">
        <v>88.7</v>
      </c>
      <c r="G206" s="11" t="s">
        <v>10</v>
      </c>
    </row>
    <row r="207" s="2" customFormat="1" ht="21" customHeight="1" spans="1:7">
      <c r="A207" s="11">
        <v>204</v>
      </c>
      <c r="B207" s="11" t="str">
        <f>"陈秋霞"</f>
        <v>陈秋霞</v>
      </c>
      <c r="C207" s="11" t="str">
        <f t="shared" si="12"/>
        <v>女</v>
      </c>
      <c r="D207" s="11" t="s">
        <v>44</v>
      </c>
      <c r="E207" s="11" t="str">
        <f>"20200208222"</f>
        <v>20200208222</v>
      </c>
      <c r="F207" s="12">
        <v>88.2</v>
      </c>
      <c r="G207" s="11" t="s">
        <v>10</v>
      </c>
    </row>
    <row r="208" s="2" customFormat="1" ht="21" customHeight="1" spans="1:7">
      <c r="A208" s="11">
        <v>205</v>
      </c>
      <c r="B208" s="11" t="str">
        <f>"曾玲"</f>
        <v>曾玲</v>
      </c>
      <c r="C208" s="11" t="str">
        <f t="shared" si="12"/>
        <v>女</v>
      </c>
      <c r="D208" s="11" t="s">
        <v>44</v>
      </c>
      <c r="E208" s="11" t="str">
        <f>"20200206329"</f>
        <v>20200206329</v>
      </c>
      <c r="F208" s="12">
        <v>87.8</v>
      </c>
      <c r="G208" s="11" t="s">
        <v>10</v>
      </c>
    </row>
    <row r="209" s="2" customFormat="1" ht="21" customHeight="1" spans="1:7">
      <c r="A209" s="11">
        <v>206</v>
      </c>
      <c r="B209" s="11" t="str">
        <f>"万仲香"</f>
        <v>万仲香</v>
      </c>
      <c r="C209" s="11" t="str">
        <f t="shared" si="12"/>
        <v>女</v>
      </c>
      <c r="D209" s="11" t="s">
        <v>44</v>
      </c>
      <c r="E209" s="11" t="str">
        <f>"20200206521"</f>
        <v>20200206521</v>
      </c>
      <c r="F209" s="12">
        <v>87.8</v>
      </c>
      <c r="G209" s="11" t="s">
        <v>10</v>
      </c>
    </row>
    <row r="210" s="2" customFormat="1" ht="21" customHeight="1" spans="1:7">
      <c r="A210" s="11">
        <v>207</v>
      </c>
      <c r="B210" s="11" t="str">
        <f>"宁思捷"</f>
        <v>宁思捷</v>
      </c>
      <c r="C210" s="11" t="str">
        <f t="shared" si="12"/>
        <v>女</v>
      </c>
      <c r="D210" s="11" t="s">
        <v>44</v>
      </c>
      <c r="E210" s="11" t="str">
        <f>"20200204419"</f>
        <v>20200204419</v>
      </c>
      <c r="F210" s="12">
        <v>87.7</v>
      </c>
      <c r="G210" s="11" t="s">
        <v>10</v>
      </c>
    </row>
    <row r="211" s="2" customFormat="1" ht="21" customHeight="1" spans="1:7">
      <c r="A211" s="11">
        <v>208</v>
      </c>
      <c r="B211" s="11" t="str">
        <f>"刘彬"</f>
        <v>刘彬</v>
      </c>
      <c r="C211" s="11" t="str">
        <f t="shared" si="12"/>
        <v>女</v>
      </c>
      <c r="D211" s="11" t="s">
        <v>44</v>
      </c>
      <c r="E211" s="11" t="str">
        <f>"20200205007"</f>
        <v>20200205007</v>
      </c>
      <c r="F211" s="12">
        <v>87.1</v>
      </c>
      <c r="G211" s="11" t="s">
        <v>10</v>
      </c>
    </row>
    <row r="212" s="2" customFormat="1" ht="21" customHeight="1" spans="1:7">
      <c r="A212" s="11">
        <v>209</v>
      </c>
      <c r="B212" s="11" t="str">
        <f>"石巧玲"</f>
        <v>石巧玲</v>
      </c>
      <c r="C212" s="11" t="str">
        <f t="shared" si="12"/>
        <v>女</v>
      </c>
      <c r="D212" s="11" t="s">
        <v>44</v>
      </c>
      <c r="E212" s="11" t="str">
        <f>"20200207322"</f>
        <v>20200207322</v>
      </c>
      <c r="F212" s="12">
        <v>86.2</v>
      </c>
      <c r="G212" s="11" t="s">
        <v>10</v>
      </c>
    </row>
    <row r="213" s="2" customFormat="1" ht="21" customHeight="1" spans="1:7">
      <c r="A213" s="11">
        <v>210</v>
      </c>
      <c r="B213" s="11" t="str">
        <f>"尹三英"</f>
        <v>尹三英</v>
      </c>
      <c r="C213" s="11" t="str">
        <f t="shared" si="12"/>
        <v>女</v>
      </c>
      <c r="D213" s="11" t="s">
        <v>44</v>
      </c>
      <c r="E213" s="11" t="str">
        <f>"20200204612"</f>
        <v>20200204612</v>
      </c>
      <c r="F213" s="12">
        <v>86.1</v>
      </c>
      <c r="G213" s="11" t="s">
        <v>10</v>
      </c>
    </row>
    <row r="214" s="2" customFormat="1" ht="21" customHeight="1" spans="1:7">
      <c r="A214" s="11">
        <v>211</v>
      </c>
      <c r="B214" s="11" t="str">
        <f>"潘银梅"</f>
        <v>潘银梅</v>
      </c>
      <c r="C214" s="11" t="str">
        <f t="shared" si="12"/>
        <v>女</v>
      </c>
      <c r="D214" s="11" t="s">
        <v>44</v>
      </c>
      <c r="E214" s="11" t="str">
        <f>"20200204501"</f>
        <v>20200204501</v>
      </c>
      <c r="F214" s="12">
        <v>85.8</v>
      </c>
      <c r="G214" s="11" t="s">
        <v>10</v>
      </c>
    </row>
    <row r="215" s="2" customFormat="1" ht="21" customHeight="1" spans="1:7">
      <c r="A215" s="11">
        <v>212</v>
      </c>
      <c r="B215" s="11" t="str">
        <f>"朱姚"</f>
        <v>朱姚</v>
      </c>
      <c r="C215" s="11" t="str">
        <f t="shared" si="12"/>
        <v>女</v>
      </c>
      <c r="D215" s="11" t="s">
        <v>44</v>
      </c>
      <c r="E215" s="11" t="str">
        <f>"20200206501"</f>
        <v>20200206501</v>
      </c>
      <c r="F215" s="12">
        <v>85.7</v>
      </c>
      <c r="G215" s="11" t="s">
        <v>10</v>
      </c>
    </row>
    <row r="216" s="2" customFormat="1" ht="21" customHeight="1" spans="1:7">
      <c r="A216" s="11">
        <v>213</v>
      </c>
      <c r="B216" s="11" t="str">
        <f>"曾茜"</f>
        <v>曾茜</v>
      </c>
      <c r="C216" s="11" t="str">
        <f t="shared" si="12"/>
        <v>女</v>
      </c>
      <c r="D216" s="11" t="s">
        <v>44</v>
      </c>
      <c r="E216" s="11" t="str">
        <f>"20200206928"</f>
        <v>20200206928</v>
      </c>
      <c r="F216" s="12">
        <v>85.7</v>
      </c>
      <c r="G216" s="11" t="s">
        <v>10</v>
      </c>
    </row>
    <row r="217" s="2" customFormat="1" ht="21" customHeight="1" spans="1:7">
      <c r="A217" s="11">
        <v>214</v>
      </c>
      <c r="B217" s="11" t="str">
        <f>"曾喜元"</f>
        <v>曾喜元</v>
      </c>
      <c r="C217" s="11" t="str">
        <f t="shared" si="12"/>
        <v>女</v>
      </c>
      <c r="D217" s="11" t="s">
        <v>44</v>
      </c>
      <c r="E217" s="11" t="str">
        <f>"20200204909"</f>
        <v>20200204909</v>
      </c>
      <c r="F217" s="12">
        <v>85.6</v>
      </c>
      <c r="G217" s="11" t="s">
        <v>10</v>
      </c>
    </row>
    <row r="218" s="2" customFormat="1" ht="21" customHeight="1" spans="1:7">
      <c r="A218" s="11">
        <v>215</v>
      </c>
      <c r="B218" s="11" t="str">
        <f>"肖文洁"</f>
        <v>肖文洁</v>
      </c>
      <c r="C218" s="11" t="str">
        <f t="shared" si="12"/>
        <v>女</v>
      </c>
      <c r="D218" s="11" t="s">
        <v>44</v>
      </c>
      <c r="E218" s="11" t="str">
        <f>"20200207221"</f>
        <v>20200207221</v>
      </c>
      <c r="F218" s="12">
        <v>85.4</v>
      </c>
      <c r="G218" s="11" t="s">
        <v>10</v>
      </c>
    </row>
    <row r="219" s="2" customFormat="1" ht="21" customHeight="1" spans="1:7">
      <c r="A219" s="11">
        <v>216</v>
      </c>
      <c r="B219" s="11" t="str">
        <f>"颜细青"</f>
        <v>颜细青</v>
      </c>
      <c r="C219" s="11" t="str">
        <f t="shared" si="12"/>
        <v>女</v>
      </c>
      <c r="D219" s="11" t="s">
        <v>44</v>
      </c>
      <c r="E219" s="11" t="str">
        <f>"20200208603"</f>
        <v>20200208603</v>
      </c>
      <c r="F219" s="12">
        <v>84.8</v>
      </c>
      <c r="G219" s="11" t="s">
        <v>10</v>
      </c>
    </row>
    <row r="220" s="2" customFormat="1" ht="21" customHeight="1" spans="1:7">
      <c r="A220" s="11">
        <v>217</v>
      </c>
      <c r="B220" s="11" t="str">
        <f>"谢艳"</f>
        <v>谢艳</v>
      </c>
      <c r="C220" s="11" t="str">
        <f t="shared" si="12"/>
        <v>女</v>
      </c>
      <c r="D220" s="11" t="s">
        <v>44</v>
      </c>
      <c r="E220" s="11" t="str">
        <f>"20200208003"</f>
        <v>20200208003</v>
      </c>
      <c r="F220" s="12">
        <v>84.6</v>
      </c>
      <c r="G220" s="11" t="s">
        <v>10</v>
      </c>
    </row>
    <row r="221" s="2" customFormat="1" ht="21" customHeight="1" spans="1:7">
      <c r="A221" s="11">
        <v>218</v>
      </c>
      <c r="B221" s="11" t="str">
        <f>"成志香"</f>
        <v>成志香</v>
      </c>
      <c r="C221" s="11" t="str">
        <f t="shared" si="12"/>
        <v>女</v>
      </c>
      <c r="D221" s="11" t="s">
        <v>44</v>
      </c>
      <c r="E221" s="11" t="str">
        <f>"20200208127"</f>
        <v>20200208127</v>
      </c>
      <c r="F221" s="12">
        <v>84.6</v>
      </c>
      <c r="G221" s="11" t="s">
        <v>10</v>
      </c>
    </row>
    <row r="222" s="2" customFormat="1" ht="21" customHeight="1" spans="1:15">
      <c r="A222" s="11">
        <v>219</v>
      </c>
      <c r="B222" s="11" t="str">
        <f>"吕彤"</f>
        <v>吕彤</v>
      </c>
      <c r="C222" s="11" t="str">
        <f t="shared" si="12"/>
        <v>女</v>
      </c>
      <c r="D222" s="11" t="s">
        <v>44</v>
      </c>
      <c r="E222" s="11" t="str">
        <f>"20200206904"</f>
        <v>20200206904</v>
      </c>
      <c r="F222" s="12">
        <v>84.4</v>
      </c>
      <c r="G222" s="11" t="s">
        <v>10</v>
      </c>
      <c r="I222" s="17"/>
      <c r="J222" s="18"/>
      <c r="K222" s="18"/>
      <c r="L222" s="18"/>
      <c r="M222" s="18"/>
      <c r="N222" s="18"/>
      <c r="O222" s="19"/>
    </row>
    <row r="223" s="2" customFormat="1" ht="21" customHeight="1" spans="1:7">
      <c r="A223" s="11">
        <v>220</v>
      </c>
      <c r="B223" s="11" t="str">
        <f>"邓柳娟"</f>
        <v>邓柳娟</v>
      </c>
      <c r="C223" s="11" t="str">
        <f t="shared" si="12"/>
        <v>女</v>
      </c>
      <c r="D223" s="11" t="s">
        <v>44</v>
      </c>
      <c r="E223" s="11" t="str">
        <f>"20200206123"</f>
        <v>20200206123</v>
      </c>
      <c r="F223" s="12">
        <v>84.3</v>
      </c>
      <c r="G223" s="11" t="s">
        <v>10</v>
      </c>
    </row>
    <row r="224" s="2" customFormat="1" ht="21" customHeight="1" spans="1:7">
      <c r="A224" s="11">
        <v>221</v>
      </c>
      <c r="B224" s="11" t="str">
        <f>"刘莹"</f>
        <v>刘莹</v>
      </c>
      <c r="C224" s="11" t="str">
        <f t="shared" si="12"/>
        <v>女</v>
      </c>
      <c r="D224" s="11" t="s">
        <v>44</v>
      </c>
      <c r="E224" s="11" t="str">
        <f>"20200204503"</f>
        <v>20200204503</v>
      </c>
      <c r="F224" s="12">
        <v>84.1</v>
      </c>
      <c r="G224" s="11" t="s">
        <v>10</v>
      </c>
    </row>
    <row r="225" s="2" customFormat="1" ht="21" customHeight="1" spans="1:7">
      <c r="A225" s="11">
        <v>222</v>
      </c>
      <c r="B225" s="14" t="str">
        <f>"袁双波"</f>
        <v>袁双波</v>
      </c>
      <c r="C225" s="14" t="str">
        <f t="shared" si="12"/>
        <v>女</v>
      </c>
      <c r="D225" s="14" t="s">
        <v>44</v>
      </c>
      <c r="E225" s="14" t="str">
        <f>"20200206327"</f>
        <v>20200206327</v>
      </c>
      <c r="F225" s="15">
        <v>84.1</v>
      </c>
      <c r="G225" s="11" t="s">
        <v>10</v>
      </c>
    </row>
    <row r="226" s="2" customFormat="1" ht="21" customHeight="1" spans="1:7">
      <c r="A226" s="11">
        <v>223</v>
      </c>
      <c r="B226" s="11" t="str">
        <f>"陈腻"</f>
        <v>陈腻</v>
      </c>
      <c r="C226" s="11" t="str">
        <f t="shared" si="12"/>
        <v>女</v>
      </c>
      <c r="D226" s="11" t="s">
        <v>45</v>
      </c>
      <c r="E226" s="11" t="str">
        <f>"20200208913"</f>
        <v>20200208913</v>
      </c>
      <c r="F226" s="12">
        <v>90.2</v>
      </c>
      <c r="G226" s="11" t="s">
        <v>10</v>
      </c>
    </row>
    <row r="227" s="2" customFormat="1" ht="21" customHeight="1" spans="1:7">
      <c r="A227" s="11">
        <v>224</v>
      </c>
      <c r="B227" s="11" t="str">
        <f>"肖扬"</f>
        <v>肖扬</v>
      </c>
      <c r="C227" s="11" t="str">
        <f t="shared" si="12"/>
        <v>女</v>
      </c>
      <c r="D227" s="11" t="s">
        <v>45</v>
      </c>
      <c r="E227" s="11" t="str">
        <f>"20200208828"</f>
        <v>20200208828</v>
      </c>
      <c r="F227" s="12">
        <v>82.6</v>
      </c>
      <c r="G227" s="11" t="s">
        <v>10</v>
      </c>
    </row>
    <row r="228" s="2" customFormat="1" ht="21" customHeight="1" spans="1:7">
      <c r="A228" s="11">
        <v>225</v>
      </c>
      <c r="B228" s="11" t="str">
        <f>"姜同杏"</f>
        <v>姜同杏</v>
      </c>
      <c r="C228" s="11" t="str">
        <f t="shared" si="12"/>
        <v>女</v>
      </c>
      <c r="D228" s="11" t="s">
        <v>45</v>
      </c>
      <c r="E228" s="11" t="str">
        <f>"20200208809"</f>
        <v>20200208809</v>
      </c>
      <c r="F228" s="12">
        <v>80.7</v>
      </c>
      <c r="G228" s="11" t="s">
        <v>10</v>
      </c>
    </row>
    <row r="229" s="2" customFormat="1" ht="21" customHeight="1" spans="1:7">
      <c r="A229" s="11">
        <v>226</v>
      </c>
      <c r="B229" s="11" t="str">
        <f>"宋琪"</f>
        <v>宋琪</v>
      </c>
      <c r="C229" s="11" t="str">
        <f t="shared" si="12"/>
        <v>女</v>
      </c>
      <c r="D229" s="11" t="s">
        <v>45</v>
      </c>
      <c r="E229" s="11" t="str">
        <f>"20200208921"</f>
        <v>20200208921</v>
      </c>
      <c r="F229" s="12">
        <v>80.6</v>
      </c>
      <c r="G229" s="11" t="s">
        <v>10</v>
      </c>
    </row>
    <row r="230" s="2" customFormat="1" ht="21" customHeight="1" spans="1:7">
      <c r="A230" s="11">
        <v>227</v>
      </c>
      <c r="B230" s="11" t="str">
        <f>"王依琳"</f>
        <v>王依琳</v>
      </c>
      <c r="C230" s="11" t="str">
        <f t="shared" si="12"/>
        <v>女</v>
      </c>
      <c r="D230" s="11" t="s">
        <v>45</v>
      </c>
      <c r="E230" s="11" t="str">
        <f>"20200209004"</f>
        <v>20200209004</v>
      </c>
      <c r="F230" s="12">
        <v>80.6</v>
      </c>
      <c r="G230" s="11" t="s">
        <v>10</v>
      </c>
    </row>
    <row r="231" s="2" customFormat="1" ht="21" customHeight="1" spans="1:7">
      <c r="A231" s="11">
        <v>228</v>
      </c>
      <c r="B231" s="11" t="str">
        <f>"赵文斌"</f>
        <v>赵文斌</v>
      </c>
      <c r="C231" s="11" t="str">
        <f t="shared" si="12"/>
        <v>女</v>
      </c>
      <c r="D231" s="11" t="s">
        <v>45</v>
      </c>
      <c r="E231" s="11" t="str">
        <f>"20200208903"</f>
        <v>20200208903</v>
      </c>
      <c r="F231" s="12">
        <v>79.2</v>
      </c>
      <c r="G231" s="11" t="s">
        <v>10</v>
      </c>
    </row>
    <row r="232" s="2" customFormat="1" ht="21" customHeight="1" spans="1:7">
      <c r="A232" s="11">
        <v>229</v>
      </c>
      <c r="B232" s="11" t="str">
        <f>"廖婷"</f>
        <v>廖婷</v>
      </c>
      <c r="C232" s="11" t="str">
        <f t="shared" si="12"/>
        <v>女</v>
      </c>
      <c r="D232" s="11" t="s">
        <v>45</v>
      </c>
      <c r="E232" s="11" t="str">
        <f>"20200208829"</f>
        <v>20200208829</v>
      </c>
      <c r="F232" s="12">
        <v>78.8</v>
      </c>
      <c r="G232" s="11" t="s">
        <v>10</v>
      </c>
    </row>
    <row r="233" s="2" customFormat="1" ht="21" customHeight="1" spans="1:7">
      <c r="A233" s="11">
        <v>230</v>
      </c>
      <c r="B233" s="11" t="str">
        <f>"刘婕"</f>
        <v>刘婕</v>
      </c>
      <c r="C233" s="11" t="str">
        <f t="shared" si="12"/>
        <v>女</v>
      </c>
      <c r="D233" s="11" t="s">
        <v>45</v>
      </c>
      <c r="E233" s="11" t="str">
        <f>"20200208923"</f>
        <v>20200208923</v>
      </c>
      <c r="F233" s="12">
        <v>77.4</v>
      </c>
      <c r="G233" s="11" t="s">
        <v>10</v>
      </c>
    </row>
    <row r="234" s="2" customFormat="1" ht="21" customHeight="1" spans="1:7">
      <c r="A234" s="11">
        <v>231</v>
      </c>
      <c r="B234" s="11" t="str">
        <f>"谌雅婷"</f>
        <v>谌雅婷</v>
      </c>
      <c r="C234" s="11" t="str">
        <f t="shared" si="12"/>
        <v>女</v>
      </c>
      <c r="D234" s="11" t="s">
        <v>45</v>
      </c>
      <c r="E234" s="11" t="str">
        <f>"20200208802"</f>
        <v>20200208802</v>
      </c>
      <c r="F234" s="12">
        <v>76.6</v>
      </c>
      <c r="G234" s="11" t="s">
        <v>10</v>
      </c>
    </row>
    <row r="235" s="2" customFormat="1" ht="21" customHeight="1" spans="1:7">
      <c r="A235" s="11">
        <v>232</v>
      </c>
      <c r="B235" s="11" t="str">
        <f>"孙维"</f>
        <v>孙维</v>
      </c>
      <c r="C235" s="11" t="str">
        <f t="shared" si="12"/>
        <v>女</v>
      </c>
      <c r="D235" s="11" t="s">
        <v>46</v>
      </c>
      <c r="E235" s="11" t="str">
        <f>"20200108724"</f>
        <v>20200108724</v>
      </c>
      <c r="F235" s="12">
        <v>82.8</v>
      </c>
      <c r="G235" s="11" t="s">
        <v>10</v>
      </c>
    </row>
    <row r="236" s="2" customFormat="1" ht="21" customHeight="1" spans="1:7">
      <c r="A236" s="11">
        <v>233</v>
      </c>
      <c r="B236" s="11" t="str">
        <f>"赵紫月"</f>
        <v>赵紫月</v>
      </c>
      <c r="C236" s="11" t="str">
        <f t="shared" si="12"/>
        <v>女</v>
      </c>
      <c r="D236" s="11" t="s">
        <v>46</v>
      </c>
      <c r="E236" s="11" t="str">
        <f>"20200108723"</f>
        <v>20200108723</v>
      </c>
      <c r="F236" s="12">
        <v>82.5</v>
      </c>
      <c r="G236" s="11" t="s">
        <v>10</v>
      </c>
    </row>
    <row r="237" s="2" customFormat="1" ht="21" customHeight="1" spans="1:7">
      <c r="A237" s="11">
        <v>234</v>
      </c>
      <c r="B237" s="11" t="str">
        <f>"张倩"</f>
        <v>张倩</v>
      </c>
      <c r="C237" s="11" t="str">
        <f t="shared" ref="C237:C252" si="13">"女"</f>
        <v>女</v>
      </c>
      <c r="D237" s="11" t="s">
        <v>47</v>
      </c>
      <c r="E237" s="11" t="str">
        <f>"20200209208"</f>
        <v>20200209208</v>
      </c>
      <c r="F237" s="12">
        <v>80.4</v>
      </c>
      <c r="G237" s="11" t="s">
        <v>10</v>
      </c>
    </row>
    <row r="238" s="2" customFormat="1" ht="21" customHeight="1" spans="1:7">
      <c r="A238" s="11">
        <v>235</v>
      </c>
      <c r="B238" s="11" t="str">
        <f>"童璐"</f>
        <v>童璐</v>
      </c>
      <c r="C238" s="11" t="str">
        <f t="shared" si="13"/>
        <v>女</v>
      </c>
      <c r="D238" s="11" t="s">
        <v>47</v>
      </c>
      <c r="E238" s="11" t="str">
        <f>"20200209215"</f>
        <v>20200209215</v>
      </c>
      <c r="F238" s="12">
        <v>78.6</v>
      </c>
      <c r="G238" s="11" t="s">
        <v>10</v>
      </c>
    </row>
    <row r="239" s="2" customFormat="1" ht="21" customHeight="1" spans="1:7">
      <c r="A239" s="11">
        <v>236</v>
      </c>
      <c r="B239" s="11" t="str">
        <f>"王张璇玉"</f>
        <v>王张璇玉</v>
      </c>
      <c r="C239" s="11" t="str">
        <f t="shared" si="13"/>
        <v>女</v>
      </c>
      <c r="D239" s="11" t="s">
        <v>47</v>
      </c>
      <c r="E239" s="11" t="str">
        <f>"20200209124"</f>
        <v>20200209124</v>
      </c>
      <c r="F239" s="12">
        <v>75.6</v>
      </c>
      <c r="G239" s="11" t="s">
        <v>10</v>
      </c>
    </row>
    <row r="240" s="2" customFormat="1" ht="21" customHeight="1" spans="1:7">
      <c r="A240" s="11">
        <v>237</v>
      </c>
      <c r="B240" s="11" t="str">
        <f>"彭湘粤"</f>
        <v>彭湘粤</v>
      </c>
      <c r="C240" s="11" t="str">
        <f t="shared" si="13"/>
        <v>女</v>
      </c>
      <c r="D240" s="11" t="s">
        <v>47</v>
      </c>
      <c r="E240" s="11" t="str">
        <f>"20200209211"</f>
        <v>20200209211</v>
      </c>
      <c r="F240" s="12">
        <v>74.2</v>
      </c>
      <c r="G240" s="11" t="s">
        <v>10</v>
      </c>
    </row>
    <row r="241" s="2" customFormat="1" ht="21" customHeight="1" spans="1:7">
      <c r="A241" s="11">
        <v>238</v>
      </c>
      <c r="B241" s="11" t="str">
        <f>"胡可"</f>
        <v>胡可</v>
      </c>
      <c r="C241" s="11" t="str">
        <f t="shared" si="13"/>
        <v>女</v>
      </c>
      <c r="D241" s="11" t="s">
        <v>47</v>
      </c>
      <c r="E241" s="11" t="str">
        <f>"20200209115"</f>
        <v>20200209115</v>
      </c>
      <c r="F241" s="12">
        <v>72.8</v>
      </c>
      <c r="G241" s="11" t="s">
        <v>10</v>
      </c>
    </row>
    <row r="242" s="2" customFormat="1" ht="21" customHeight="1" spans="1:7">
      <c r="A242" s="11">
        <v>239</v>
      </c>
      <c r="B242" s="11" t="str">
        <f>"谢丰玮"</f>
        <v>谢丰玮</v>
      </c>
      <c r="C242" s="11" t="str">
        <f t="shared" si="13"/>
        <v>女</v>
      </c>
      <c r="D242" s="11" t="s">
        <v>47</v>
      </c>
      <c r="E242" s="11" t="str">
        <f>"20200209126"</f>
        <v>20200209126</v>
      </c>
      <c r="F242" s="12">
        <v>71.4</v>
      </c>
      <c r="G242" s="11" t="s">
        <v>10</v>
      </c>
    </row>
    <row r="243" s="2" customFormat="1" ht="21" customHeight="1" spans="1:7">
      <c r="A243" s="11">
        <v>240</v>
      </c>
      <c r="B243" s="11" t="str">
        <f>"陈瑜"</f>
        <v>陈瑜</v>
      </c>
      <c r="C243" s="11" t="str">
        <f t="shared" si="13"/>
        <v>女</v>
      </c>
      <c r="D243" s="11" t="s">
        <v>47</v>
      </c>
      <c r="E243" s="11" t="str">
        <f>"20200209220"</f>
        <v>20200209220</v>
      </c>
      <c r="F243" s="12">
        <v>71</v>
      </c>
      <c r="G243" s="11" t="s">
        <v>10</v>
      </c>
    </row>
    <row r="244" s="2" customFormat="1" ht="21" customHeight="1" spans="1:7">
      <c r="A244" s="11">
        <v>241</v>
      </c>
      <c r="B244" s="11" t="str">
        <f>"毛颖辉"</f>
        <v>毛颖辉</v>
      </c>
      <c r="C244" s="11" t="str">
        <f t="shared" si="13"/>
        <v>女</v>
      </c>
      <c r="D244" s="11" t="s">
        <v>47</v>
      </c>
      <c r="E244" s="11" t="str">
        <f>"20200209105"</f>
        <v>20200209105</v>
      </c>
      <c r="F244" s="12">
        <v>70.4</v>
      </c>
      <c r="G244" s="11" t="s">
        <v>10</v>
      </c>
    </row>
    <row r="245" s="2" customFormat="1" ht="21" customHeight="1" spans="1:7">
      <c r="A245" s="11">
        <v>242</v>
      </c>
      <c r="B245" s="11" t="str">
        <f>"刘玫玲"</f>
        <v>刘玫玲</v>
      </c>
      <c r="C245" s="11" t="str">
        <f t="shared" si="13"/>
        <v>女</v>
      </c>
      <c r="D245" s="11" t="s">
        <v>47</v>
      </c>
      <c r="E245" s="11" t="str">
        <f>"20200209116"</f>
        <v>20200209116</v>
      </c>
      <c r="F245" s="12">
        <v>70.4</v>
      </c>
      <c r="G245" s="11" t="s">
        <v>10</v>
      </c>
    </row>
    <row r="246" s="2" customFormat="1" ht="21" customHeight="1" spans="1:7">
      <c r="A246" s="11">
        <v>243</v>
      </c>
      <c r="B246" s="11" t="str">
        <f>"龚朗红"</f>
        <v>龚朗红</v>
      </c>
      <c r="C246" s="11" t="str">
        <f t="shared" si="13"/>
        <v>女</v>
      </c>
      <c r="D246" s="11" t="s">
        <v>47</v>
      </c>
      <c r="E246" s="11" t="str">
        <f>"20200209112"</f>
        <v>20200209112</v>
      </c>
      <c r="F246" s="12">
        <v>69.9</v>
      </c>
      <c r="G246" s="11" t="s">
        <v>10</v>
      </c>
    </row>
    <row r="247" s="2" customFormat="1" ht="21" customHeight="1" spans="1:7">
      <c r="A247" s="11">
        <v>244</v>
      </c>
      <c r="B247" s="11" t="str">
        <f>"刘家玲"</f>
        <v>刘家玲</v>
      </c>
      <c r="C247" s="11" t="str">
        <f t="shared" si="13"/>
        <v>女</v>
      </c>
      <c r="D247" s="11" t="s">
        <v>47</v>
      </c>
      <c r="E247" s="11" t="str">
        <f>"20200209122"</f>
        <v>20200209122</v>
      </c>
      <c r="F247" s="12">
        <v>69</v>
      </c>
      <c r="G247" s="11" t="s">
        <v>10</v>
      </c>
    </row>
    <row r="248" s="2" customFormat="1" ht="21" customHeight="1" spans="1:7">
      <c r="A248" s="11">
        <v>245</v>
      </c>
      <c r="B248" s="11" t="str">
        <f>"夏俊慧"</f>
        <v>夏俊慧</v>
      </c>
      <c r="C248" s="11" t="str">
        <f t="shared" si="13"/>
        <v>女</v>
      </c>
      <c r="D248" s="11" t="s">
        <v>47</v>
      </c>
      <c r="E248" s="11" t="str">
        <f>"20200209213"</f>
        <v>20200209213</v>
      </c>
      <c r="F248" s="12">
        <v>67.4</v>
      </c>
      <c r="G248" s="11" t="s">
        <v>10</v>
      </c>
    </row>
    <row r="249" s="2" customFormat="1" ht="21" customHeight="1" spans="1:7">
      <c r="A249" s="11">
        <v>246</v>
      </c>
      <c r="B249" s="11" t="str">
        <f>"易稳"</f>
        <v>易稳</v>
      </c>
      <c r="C249" s="11" t="str">
        <f t="shared" si="13"/>
        <v>女</v>
      </c>
      <c r="D249" s="11" t="s">
        <v>47</v>
      </c>
      <c r="E249" s="11" t="str">
        <f>"20200209102"</f>
        <v>20200209102</v>
      </c>
      <c r="F249" s="12">
        <v>67.2</v>
      </c>
      <c r="G249" s="11" t="s">
        <v>10</v>
      </c>
    </row>
    <row r="250" s="2" customFormat="1" ht="21" customHeight="1" spans="1:7">
      <c r="A250" s="11">
        <v>247</v>
      </c>
      <c r="B250" s="11" t="str">
        <f>"杨鸿"</f>
        <v>杨鸿</v>
      </c>
      <c r="C250" s="11" t="str">
        <f t="shared" si="13"/>
        <v>女</v>
      </c>
      <c r="D250" s="11" t="s">
        <v>47</v>
      </c>
      <c r="E250" s="11" t="str">
        <f>"20200209222"</f>
        <v>20200209222</v>
      </c>
      <c r="F250" s="12">
        <v>65.4</v>
      </c>
      <c r="G250" s="11" t="s">
        <v>10</v>
      </c>
    </row>
    <row r="251" s="2" customFormat="1" ht="21" customHeight="1" spans="1:7">
      <c r="A251" s="11">
        <v>248</v>
      </c>
      <c r="B251" s="11" t="str">
        <f>"李丹"</f>
        <v>李丹</v>
      </c>
      <c r="C251" s="11" t="str">
        <f t="shared" si="13"/>
        <v>女</v>
      </c>
      <c r="D251" s="11" t="s">
        <v>47</v>
      </c>
      <c r="E251" s="11" t="str">
        <f>"20200209203"</f>
        <v>20200209203</v>
      </c>
      <c r="F251" s="12">
        <v>63.6</v>
      </c>
      <c r="G251" s="11" t="s">
        <v>10</v>
      </c>
    </row>
    <row r="252" s="2" customFormat="1" ht="21" customHeight="1" spans="1:7">
      <c r="A252" s="11">
        <v>249</v>
      </c>
      <c r="B252" s="11" t="str">
        <f>"朱雪梅"</f>
        <v>朱雪梅</v>
      </c>
      <c r="C252" s="11" t="str">
        <f t="shared" si="13"/>
        <v>女</v>
      </c>
      <c r="D252" s="11" t="s">
        <v>47</v>
      </c>
      <c r="E252" s="11" t="str">
        <f>"20200209212"</f>
        <v>20200209212</v>
      </c>
      <c r="F252" s="12">
        <v>63.6</v>
      </c>
      <c r="G252" s="11" t="s">
        <v>10</v>
      </c>
    </row>
    <row r="253" s="2" customFormat="1" ht="21" customHeight="1" spans="1:7">
      <c r="A253" s="11">
        <v>250</v>
      </c>
      <c r="B253" s="11" t="str">
        <f>"龚宗稳"</f>
        <v>龚宗稳</v>
      </c>
      <c r="C253" s="11" t="str">
        <f>"男"</f>
        <v>男</v>
      </c>
      <c r="D253" s="11" t="s">
        <v>48</v>
      </c>
      <c r="E253" s="11" t="str">
        <f>"20200209410"</f>
        <v>20200209410</v>
      </c>
      <c r="F253" s="12">
        <v>85.4</v>
      </c>
      <c r="G253" s="11" t="s">
        <v>10</v>
      </c>
    </row>
    <row r="254" s="2" customFormat="1" ht="21" customHeight="1" spans="1:7">
      <c r="A254" s="11">
        <v>251</v>
      </c>
      <c r="B254" s="11" t="str">
        <f>"戴博"</f>
        <v>戴博</v>
      </c>
      <c r="C254" s="11" t="str">
        <f>"男"</f>
        <v>男</v>
      </c>
      <c r="D254" s="11" t="s">
        <v>48</v>
      </c>
      <c r="E254" s="11" t="str">
        <f>"20200209301"</f>
        <v>20200209301</v>
      </c>
      <c r="F254" s="12">
        <v>78.9</v>
      </c>
      <c r="G254" s="11" t="s">
        <v>10</v>
      </c>
    </row>
    <row r="255" s="2" customFormat="1" ht="21" customHeight="1" spans="1:7">
      <c r="A255" s="11">
        <v>252</v>
      </c>
      <c r="B255" s="11" t="str">
        <f>"李梦瑶"</f>
        <v>李梦瑶</v>
      </c>
      <c r="C255" s="11" t="str">
        <f>"女"</f>
        <v>女</v>
      </c>
      <c r="D255" s="11" t="s">
        <v>48</v>
      </c>
      <c r="E255" s="11" t="str">
        <f>"20200209326"</f>
        <v>20200209326</v>
      </c>
      <c r="F255" s="12">
        <v>77.4</v>
      </c>
      <c r="G255" s="11" t="s">
        <v>10</v>
      </c>
    </row>
    <row r="256" s="2" customFormat="1" ht="21" customHeight="1" spans="1:7">
      <c r="A256" s="11">
        <v>253</v>
      </c>
      <c r="B256" s="11" t="str">
        <f>"王路婷"</f>
        <v>王路婷</v>
      </c>
      <c r="C256" s="11" t="str">
        <f>"女"</f>
        <v>女</v>
      </c>
      <c r="D256" s="11" t="s">
        <v>49</v>
      </c>
      <c r="E256" s="11" t="str">
        <f>"20200209503"</f>
        <v>20200209503</v>
      </c>
      <c r="F256" s="12">
        <v>88.2</v>
      </c>
      <c r="G256" s="11" t="s">
        <v>10</v>
      </c>
    </row>
    <row r="257" s="2" customFormat="1" ht="21" customHeight="1" spans="1:7">
      <c r="A257" s="11">
        <v>254</v>
      </c>
      <c r="B257" s="11" t="str">
        <f>"向文静"</f>
        <v>向文静</v>
      </c>
      <c r="C257" s="11" t="str">
        <f>"女"</f>
        <v>女</v>
      </c>
      <c r="D257" s="11" t="s">
        <v>49</v>
      </c>
      <c r="E257" s="11" t="str">
        <f>"20200209507"</f>
        <v>20200209507</v>
      </c>
      <c r="F257" s="12">
        <v>86.2</v>
      </c>
      <c r="G257" s="11" t="s">
        <v>10</v>
      </c>
    </row>
    <row r="258" s="2" customFormat="1" ht="21" customHeight="1" spans="1:7">
      <c r="A258" s="11">
        <v>255</v>
      </c>
      <c r="B258" s="11" t="str">
        <f>"刘巧姝"</f>
        <v>刘巧姝</v>
      </c>
      <c r="C258" s="11" t="str">
        <f>"女"</f>
        <v>女</v>
      </c>
      <c r="D258" s="11" t="s">
        <v>49</v>
      </c>
      <c r="E258" s="11" t="str">
        <f>"20200209512"</f>
        <v>20200209512</v>
      </c>
      <c r="F258" s="12">
        <v>81.2</v>
      </c>
      <c r="G258" s="11" t="s">
        <v>10</v>
      </c>
    </row>
    <row r="259" s="2" customFormat="1" ht="21" customHeight="1" spans="1:7">
      <c r="A259" s="11">
        <v>256</v>
      </c>
      <c r="B259" s="11" t="str">
        <f>"刘雅伦"</f>
        <v>刘雅伦</v>
      </c>
      <c r="C259" s="11" t="str">
        <f t="shared" ref="C259:C269" si="14">"男"</f>
        <v>男</v>
      </c>
      <c r="D259" s="11" t="s">
        <v>50</v>
      </c>
      <c r="E259" s="11" t="str">
        <f>"20200209729"</f>
        <v>20200209729</v>
      </c>
      <c r="F259" s="12">
        <v>82.2</v>
      </c>
      <c r="G259" s="11" t="s">
        <v>10</v>
      </c>
    </row>
    <row r="260" s="2" customFormat="1" ht="21" customHeight="1" spans="1:7">
      <c r="A260" s="11">
        <v>257</v>
      </c>
      <c r="B260" s="11" t="str">
        <f>"黄胜峰"</f>
        <v>黄胜峰</v>
      </c>
      <c r="C260" s="11" t="str">
        <f t="shared" si="14"/>
        <v>男</v>
      </c>
      <c r="D260" s="11" t="s">
        <v>50</v>
      </c>
      <c r="E260" s="11" t="str">
        <f>"20200209922"</f>
        <v>20200209922</v>
      </c>
      <c r="F260" s="12">
        <v>80.6</v>
      </c>
      <c r="G260" s="11" t="s">
        <v>10</v>
      </c>
    </row>
    <row r="261" s="2" customFormat="1" ht="21" customHeight="1" spans="1:7">
      <c r="A261" s="11">
        <v>258</v>
      </c>
      <c r="B261" s="11" t="str">
        <f>"成科杰"</f>
        <v>成科杰</v>
      </c>
      <c r="C261" s="11" t="str">
        <f t="shared" si="14"/>
        <v>男</v>
      </c>
      <c r="D261" s="11" t="s">
        <v>50</v>
      </c>
      <c r="E261" s="11" t="str">
        <f>"20200209809"</f>
        <v>20200209809</v>
      </c>
      <c r="F261" s="12">
        <v>78.6</v>
      </c>
      <c r="G261" s="11" t="s">
        <v>10</v>
      </c>
    </row>
    <row r="262" s="2" customFormat="1" ht="21" customHeight="1" spans="1:7">
      <c r="A262" s="11">
        <v>259</v>
      </c>
      <c r="B262" s="11" t="str">
        <f>"吴坤"</f>
        <v>吴坤</v>
      </c>
      <c r="C262" s="11" t="str">
        <f t="shared" si="14"/>
        <v>男</v>
      </c>
      <c r="D262" s="11" t="s">
        <v>50</v>
      </c>
      <c r="E262" s="11" t="str">
        <f>"20200209925"</f>
        <v>20200209925</v>
      </c>
      <c r="F262" s="12">
        <v>78.6</v>
      </c>
      <c r="G262" s="11" t="s">
        <v>10</v>
      </c>
    </row>
    <row r="263" s="2" customFormat="1" ht="21" customHeight="1" spans="1:7">
      <c r="A263" s="11">
        <v>260</v>
      </c>
      <c r="B263" s="11" t="str">
        <f>"尹湘"</f>
        <v>尹湘</v>
      </c>
      <c r="C263" s="11" t="str">
        <f t="shared" si="14"/>
        <v>男</v>
      </c>
      <c r="D263" s="11" t="s">
        <v>50</v>
      </c>
      <c r="E263" s="11" t="str">
        <f>"20200209603"</f>
        <v>20200209603</v>
      </c>
      <c r="F263" s="12">
        <v>78</v>
      </c>
      <c r="G263" s="11" t="s">
        <v>10</v>
      </c>
    </row>
    <row r="264" s="2" customFormat="1" ht="21" customHeight="1" spans="1:7">
      <c r="A264" s="11">
        <v>261</v>
      </c>
      <c r="B264" s="11" t="str">
        <f>"邓戎"</f>
        <v>邓戎</v>
      </c>
      <c r="C264" s="11" t="str">
        <f t="shared" si="14"/>
        <v>男</v>
      </c>
      <c r="D264" s="11" t="s">
        <v>50</v>
      </c>
      <c r="E264" s="11" t="str">
        <f>"20200209722"</f>
        <v>20200209722</v>
      </c>
      <c r="F264" s="12">
        <v>78</v>
      </c>
      <c r="G264" s="11" t="s">
        <v>10</v>
      </c>
    </row>
    <row r="265" s="2" customFormat="1" ht="21" customHeight="1" spans="1:7">
      <c r="A265" s="11">
        <v>262</v>
      </c>
      <c r="B265" s="11" t="str">
        <f>"曹彪"</f>
        <v>曹彪</v>
      </c>
      <c r="C265" s="11" t="str">
        <f t="shared" si="14"/>
        <v>男</v>
      </c>
      <c r="D265" s="11" t="s">
        <v>50</v>
      </c>
      <c r="E265" s="11" t="str">
        <f>"20200209601"</f>
        <v>20200209601</v>
      </c>
      <c r="F265" s="12">
        <v>76.8</v>
      </c>
      <c r="G265" s="11" t="s">
        <v>10</v>
      </c>
    </row>
    <row r="266" s="2" customFormat="1" ht="21" customHeight="1" spans="1:7">
      <c r="A266" s="11">
        <v>263</v>
      </c>
      <c r="B266" s="11" t="str">
        <f>"王朋"</f>
        <v>王朋</v>
      </c>
      <c r="C266" s="11" t="str">
        <f t="shared" si="14"/>
        <v>男</v>
      </c>
      <c r="D266" s="11" t="s">
        <v>50</v>
      </c>
      <c r="E266" s="11" t="str">
        <f>"20200209627"</f>
        <v>20200209627</v>
      </c>
      <c r="F266" s="12">
        <v>76.8</v>
      </c>
      <c r="G266" s="11" t="s">
        <v>10</v>
      </c>
    </row>
    <row r="267" s="2" customFormat="1" ht="21" customHeight="1" spans="1:7">
      <c r="A267" s="11">
        <v>264</v>
      </c>
      <c r="B267" s="11" t="str">
        <f>"王思源"</f>
        <v>王思源</v>
      </c>
      <c r="C267" s="11" t="str">
        <f t="shared" si="14"/>
        <v>男</v>
      </c>
      <c r="D267" s="11" t="s">
        <v>50</v>
      </c>
      <c r="E267" s="11" t="str">
        <f>"20200209910"</f>
        <v>20200209910</v>
      </c>
      <c r="F267" s="12">
        <v>75</v>
      </c>
      <c r="G267" s="11" t="s">
        <v>10</v>
      </c>
    </row>
    <row r="268" s="2" customFormat="1" ht="21" customHeight="1" spans="1:7">
      <c r="A268" s="11">
        <v>265</v>
      </c>
      <c r="B268" s="11" t="str">
        <f>"刘志胜"</f>
        <v>刘志胜</v>
      </c>
      <c r="C268" s="11" t="str">
        <f t="shared" si="14"/>
        <v>男</v>
      </c>
      <c r="D268" s="11" t="s">
        <v>50</v>
      </c>
      <c r="E268" s="11" t="str">
        <f>"20200209610"</f>
        <v>20200209610</v>
      </c>
      <c r="F268" s="12">
        <v>74.6</v>
      </c>
      <c r="G268" s="11" t="s">
        <v>10</v>
      </c>
    </row>
    <row r="269" s="2" customFormat="1" ht="21" customHeight="1" spans="1:7">
      <c r="A269" s="11">
        <v>266</v>
      </c>
      <c r="B269" s="11" t="str">
        <f>"贺钦林"</f>
        <v>贺钦林</v>
      </c>
      <c r="C269" s="11" t="str">
        <f t="shared" si="14"/>
        <v>男</v>
      </c>
      <c r="D269" s="11" t="s">
        <v>50</v>
      </c>
      <c r="E269" s="11" t="str">
        <f>"20200209629"</f>
        <v>20200209629</v>
      </c>
      <c r="F269" s="12">
        <v>74.4</v>
      </c>
      <c r="G269" s="11" t="s">
        <v>10</v>
      </c>
    </row>
    <row r="270" s="2" customFormat="1" ht="21" customHeight="1" spans="1:7">
      <c r="A270" s="11">
        <v>267</v>
      </c>
      <c r="B270" s="11" t="str">
        <f>"刘加丽"</f>
        <v>刘加丽</v>
      </c>
      <c r="C270" s="11" t="str">
        <f t="shared" ref="C270:C275" si="15">"女"</f>
        <v>女</v>
      </c>
      <c r="D270" s="11" t="s">
        <v>51</v>
      </c>
      <c r="E270" s="11" t="str">
        <f>"20200210129"</f>
        <v>20200210129</v>
      </c>
      <c r="F270" s="12">
        <v>80.2</v>
      </c>
      <c r="G270" s="11" t="s">
        <v>10</v>
      </c>
    </row>
    <row r="271" s="2" customFormat="1" ht="21" customHeight="1" spans="1:7">
      <c r="A271" s="11">
        <v>268</v>
      </c>
      <c r="B271" s="11" t="str">
        <f>"李琦"</f>
        <v>李琦</v>
      </c>
      <c r="C271" s="11" t="str">
        <f>"男"</f>
        <v>男</v>
      </c>
      <c r="D271" s="11" t="s">
        <v>51</v>
      </c>
      <c r="E271" s="11" t="str">
        <f>"20200210113"</f>
        <v>20200210113</v>
      </c>
      <c r="F271" s="12">
        <v>78.2</v>
      </c>
      <c r="G271" s="11" t="s">
        <v>10</v>
      </c>
    </row>
    <row r="272" s="2" customFormat="1" ht="21" customHeight="1" spans="1:7">
      <c r="A272" s="11">
        <v>269</v>
      </c>
      <c r="B272" s="11" t="str">
        <f>"张伊菲"</f>
        <v>张伊菲</v>
      </c>
      <c r="C272" s="11" t="str">
        <f t="shared" si="15"/>
        <v>女</v>
      </c>
      <c r="D272" s="11" t="s">
        <v>51</v>
      </c>
      <c r="E272" s="11" t="str">
        <f>"20200210120"</f>
        <v>20200210120</v>
      </c>
      <c r="F272" s="12">
        <v>77.6</v>
      </c>
      <c r="G272" s="11" t="s">
        <v>10</v>
      </c>
    </row>
    <row r="273" s="2" customFormat="1" ht="21" customHeight="1" spans="1:7">
      <c r="A273" s="11">
        <v>270</v>
      </c>
      <c r="B273" s="11" t="str">
        <f>"郭慧芳"</f>
        <v>郭慧芳</v>
      </c>
      <c r="C273" s="11" t="str">
        <f t="shared" si="15"/>
        <v>女</v>
      </c>
      <c r="D273" s="11" t="s">
        <v>51</v>
      </c>
      <c r="E273" s="11" t="str">
        <f>"20200210130"</f>
        <v>20200210130</v>
      </c>
      <c r="F273" s="12">
        <v>77.4</v>
      </c>
      <c r="G273" s="11" t="s">
        <v>10</v>
      </c>
    </row>
    <row r="274" s="2" customFormat="1" ht="21" customHeight="1" spans="1:7">
      <c r="A274" s="11">
        <v>271</v>
      </c>
      <c r="B274" s="11" t="str">
        <f>"刘倩"</f>
        <v>刘倩</v>
      </c>
      <c r="C274" s="11" t="str">
        <f t="shared" si="15"/>
        <v>女</v>
      </c>
      <c r="D274" s="11" t="s">
        <v>51</v>
      </c>
      <c r="E274" s="11" t="str">
        <f>"20200210112"</f>
        <v>20200210112</v>
      </c>
      <c r="F274" s="12">
        <v>76.6</v>
      </c>
      <c r="G274" s="11" t="s">
        <v>10</v>
      </c>
    </row>
    <row r="275" s="2" customFormat="1" ht="21" customHeight="1" spans="1:7">
      <c r="A275" s="11">
        <v>272</v>
      </c>
      <c r="B275" s="11" t="str">
        <f>"贺桢程"</f>
        <v>贺桢程</v>
      </c>
      <c r="C275" s="11" t="str">
        <f t="shared" si="15"/>
        <v>女</v>
      </c>
      <c r="D275" s="11" t="s">
        <v>51</v>
      </c>
      <c r="E275" s="11" t="str">
        <f>"20200210005"</f>
        <v>20200210005</v>
      </c>
      <c r="F275" s="12">
        <v>76.2</v>
      </c>
      <c r="G275" s="11" t="s">
        <v>10</v>
      </c>
    </row>
    <row r="276" s="2" customFormat="1" ht="21" customHeight="1" spans="1:7">
      <c r="A276" s="11">
        <v>273</v>
      </c>
      <c r="B276" s="11" t="str">
        <f>"聂启龙"</f>
        <v>聂启龙</v>
      </c>
      <c r="C276" s="11" t="str">
        <f>"男"</f>
        <v>男</v>
      </c>
      <c r="D276" s="11" t="s">
        <v>51</v>
      </c>
      <c r="E276" s="11" t="str">
        <f>"20200210202"</f>
        <v>20200210202</v>
      </c>
      <c r="F276" s="12">
        <v>75.8</v>
      </c>
      <c r="G276" s="11" t="s">
        <v>10</v>
      </c>
    </row>
    <row r="277" s="2" customFormat="1" ht="21" customHeight="1" spans="1:7">
      <c r="A277" s="11">
        <v>274</v>
      </c>
      <c r="B277" s="11" t="str">
        <f>"龙珊"</f>
        <v>龙珊</v>
      </c>
      <c r="C277" s="11" t="str">
        <f t="shared" ref="C277:C283" si="16">"女"</f>
        <v>女</v>
      </c>
      <c r="D277" s="11" t="s">
        <v>51</v>
      </c>
      <c r="E277" s="11" t="str">
        <f>"20200210020"</f>
        <v>20200210020</v>
      </c>
      <c r="F277" s="12">
        <v>74.4</v>
      </c>
      <c r="G277" s="11" t="s">
        <v>10</v>
      </c>
    </row>
    <row r="278" s="2" customFormat="1" ht="21" customHeight="1" spans="1:7">
      <c r="A278" s="11">
        <v>275</v>
      </c>
      <c r="B278" s="11" t="str">
        <f>"肖灵"</f>
        <v>肖灵</v>
      </c>
      <c r="C278" s="11" t="str">
        <f t="shared" si="16"/>
        <v>女</v>
      </c>
      <c r="D278" s="11" t="s">
        <v>51</v>
      </c>
      <c r="E278" s="11" t="str">
        <f>"20200210105"</f>
        <v>20200210105</v>
      </c>
      <c r="F278" s="12">
        <v>74.4</v>
      </c>
      <c r="G278" s="11" t="s">
        <v>10</v>
      </c>
    </row>
    <row r="279" s="2" customFormat="1" ht="21" customHeight="1" spans="1:7">
      <c r="A279" s="11">
        <v>276</v>
      </c>
      <c r="B279" s="11" t="str">
        <f>"李婷"</f>
        <v>李婷</v>
      </c>
      <c r="C279" s="11" t="str">
        <f t="shared" si="16"/>
        <v>女</v>
      </c>
      <c r="D279" s="11" t="s">
        <v>51</v>
      </c>
      <c r="E279" s="11" t="str">
        <f>"20200210104"</f>
        <v>20200210104</v>
      </c>
      <c r="F279" s="12">
        <v>74.2</v>
      </c>
      <c r="G279" s="11" t="s">
        <v>10</v>
      </c>
    </row>
    <row r="280" s="2" customFormat="1" ht="21" customHeight="1" spans="1:7">
      <c r="A280" s="11">
        <v>277</v>
      </c>
      <c r="B280" s="11" t="str">
        <f>"龚娅菲"</f>
        <v>龚娅菲</v>
      </c>
      <c r="C280" s="11" t="str">
        <f t="shared" si="16"/>
        <v>女</v>
      </c>
      <c r="D280" s="11" t="s">
        <v>51</v>
      </c>
      <c r="E280" s="11" t="str">
        <f>"20200210014"</f>
        <v>20200210014</v>
      </c>
      <c r="F280" s="12">
        <v>72.6</v>
      </c>
      <c r="G280" s="11" t="s">
        <v>10</v>
      </c>
    </row>
    <row r="281" s="2" customFormat="1" ht="21" customHeight="1" spans="1:7">
      <c r="A281" s="11">
        <v>278</v>
      </c>
      <c r="B281" s="11" t="str">
        <f>"曾倩"</f>
        <v>曾倩</v>
      </c>
      <c r="C281" s="11" t="str">
        <f t="shared" si="16"/>
        <v>女</v>
      </c>
      <c r="D281" s="11" t="s">
        <v>51</v>
      </c>
      <c r="E281" s="11" t="str">
        <f>"20200210201"</f>
        <v>20200210201</v>
      </c>
      <c r="F281" s="12">
        <v>69.6</v>
      </c>
      <c r="G281" s="11" t="s">
        <v>10</v>
      </c>
    </row>
    <row r="282" s="2" customFormat="1" ht="21" customHeight="1" spans="1:7">
      <c r="A282" s="11">
        <v>279</v>
      </c>
      <c r="B282" s="11" t="str">
        <f>"闵姿益"</f>
        <v>闵姿益</v>
      </c>
      <c r="C282" s="11" t="str">
        <f t="shared" si="16"/>
        <v>女</v>
      </c>
      <c r="D282" s="11" t="s">
        <v>51</v>
      </c>
      <c r="E282" s="11" t="str">
        <f>"20200210009"</f>
        <v>20200210009</v>
      </c>
      <c r="F282" s="12">
        <v>69.4</v>
      </c>
      <c r="G282" s="11" t="s">
        <v>10</v>
      </c>
    </row>
    <row r="283" s="2" customFormat="1" ht="21" customHeight="1" spans="1:7">
      <c r="A283" s="11">
        <v>280</v>
      </c>
      <c r="B283" s="11" t="str">
        <f>"蒋政翠"</f>
        <v>蒋政翠</v>
      </c>
      <c r="C283" s="11" t="str">
        <f t="shared" si="16"/>
        <v>女</v>
      </c>
      <c r="D283" s="11" t="s">
        <v>51</v>
      </c>
      <c r="E283" s="11" t="str">
        <f>"20200210122"</f>
        <v>20200210122</v>
      </c>
      <c r="F283" s="12">
        <v>68.4</v>
      </c>
      <c r="G283" s="11" t="s">
        <v>10</v>
      </c>
    </row>
    <row r="284" s="2" customFormat="1" ht="21" customHeight="1" spans="1:7">
      <c r="A284" s="11">
        <v>281</v>
      </c>
      <c r="B284" s="11" t="str">
        <f>"周平"</f>
        <v>周平</v>
      </c>
      <c r="C284" s="11" t="str">
        <f>"男"</f>
        <v>男</v>
      </c>
      <c r="D284" s="11" t="s">
        <v>51</v>
      </c>
      <c r="E284" s="11" t="str">
        <f>"20200210110"</f>
        <v>20200210110</v>
      </c>
      <c r="F284" s="12">
        <v>67.2</v>
      </c>
      <c r="G284" s="11" t="s">
        <v>10</v>
      </c>
    </row>
    <row r="285" s="2" customFormat="1" ht="21" customHeight="1" spans="1:7">
      <c r="A285" s="11">
        <v>282</v>
      </c>
      <c r="B285" s="11" t="str">
        <f>"曾球球"</f>
        <v>曾球球</v>
      </c>
      <c r="C285" s="11" t="str">
        <f t="shared" ref="C285:C290" si="17">"女"</f>
        <v>女</v>
      </c>
      <c r="D285" s="11" t="s">
        <v>51</v>
      </c>
      <c r="E285" s="11" t="str">
        <f>"20200210209"</f>
        <v>20200210209</v>
      </c>
      <c r="F285" s="12">
        <v>66.8</v>
      </c>
      <c r="G285" s="11" t="s">
        <v>10</v>
      </c>
    </row>
    <row r="286" s="2" customFormat="1" ht="21" customHeight="1" spans="1:7">
      <c r="A286" s="11">
        <v>283</v>
      </c>
      <c r="B286" s="11" t="str">
        <f>"曾漫芳"</f>
        <v>曾漫芳</v>
      </c>
      <c r="C286" s="11" t="str">
        <f t="shared" si="17"/>
        <v>女</v>
      </c>
      <c r="D286" s="11" t="s">
        <v>51</v>
      </c>
      <c r="E286" s="11" t="str">
        <f>"20200210111"</f>
        <v>20200210111</v>
      </c>
      <c r="F286" s="12">
        <v>66.2</v>
      </c>
      <c r="G286" s="11" t="s">
        <v>10</v>
      </c>
    </row>
    <row r="287" s="2" customFormat="1" ht="21" customHeight="1" spans="1:7">
      <c r="A287" s="11">
        <v>284</v>
      </c>
      <c r="B287" s="11" t="str">
        <f>"徐畅"</f>
        <v>徐畅</v>
      </c>
      <c r="C287" s="11" t="str">
        <f t="shared" si="17"/>
        <v>女</v>
      </c>
      <c r="D287" s="11" t="s">
        <v>51</v>
      </c>
      <c r="E287" s="11" t="str">
        <f>"20200210124"</f>
        <v>20200210124</v>
      </c>
      <c r="F287" s="12">
        <v>65.6</v>
      </c>
      <c r="G287" s="11" t="s">
        <v>10</v>
      </c>
    </row>
    <row r="288" s="2" customFormat="1" ht="21" customHeight="1" spans="1:7">
      <c r="A288" s="11">
        <v>285</v>
      </c>
      <c r="B288" s="11" t="str">
        <f>"唐娟"</f>
        <v>唐娟</v>
      </c>
      <c r="C288" s="11" t="str">
        <f t="shared" si="17"/>
        <v>女</v>
      </c>
      <c r="D288" s="11" t="s">
        <v>51</v>
      </c>
      <c r="E288" s="11" t="str">
        <f>"20200210108"</f>
        <v>20200210108</v>
      </c>
      <c r="F288" s="12">
        <v>64</v>
      </c>
      <c r="G288" s="11" t="s">
        <v>10</v>
      </c>
    </row>
    <row r="289" s="2" customFormat="1" ht="21" customHeight="1" spans="1:7">
      <c r="A289" s="11">
        <v>286</v>
      </c>
      <c r="B289" s="11" t="str">
        <f>"吴萍"</f>
        <v>吴萍</v>
      </c>
      <c r="C289" s="11" t="str">
        <f t="shared" si="17"/>
        <v>女</v>
      </c>
      <c r="D289" s="11" t="s">
        <v>51</v>
      </c>
      <c r="E289" s="11" t="str">
        <f>"20200210126"</f>
        <v>20200210126</v>
      </c>
      <c r="F289" s="12">
        <v>63.2</v>
      </c>
      <c r="G289" s="11" t="s">
        <v>10</v>
      </c>
    </row>
    <row r="290" s="2" customFormat="1" ht="21" customHeight="1" spans="1:7">
      <c r="A290" s="11">
        <v>287</v>
      </c>
      <c r="B290" s="11" t="str">
        <f>"陈芬"</f>
        <v>陈芬</v>
      </c>
      <c r="C290" s="11" t="str">
        <f t="shared" si="17"/>
        <v>女</v>
      </c>
      <c r="D290" s="11" t="s">
        <v>51</v>
      </c>
      <c r="E290" s="11" t="str">
        <f>"20200210109"</f>
        <v>20200210109</v>
      </c>
      <c r="F290" s="12">
        <v>62.4</v>
      </c>
      <c r="G290" s="11" t="s">
        <v>10</v>
      </c>
    </row>
    <row r="291" s="2" customFormat="1" ht="21" customHeight="1" spans="1:7">
      <c r="A291" s="11">
        <v>288</v>
      </c>
      <c r="B291" s="11" t="str">
        <f>"刘宇龙"</f>
        <v>刘宇龙</v>
      </c>
      <c r="C291" s="11" t="str">
        <f>"男"</f>
        <v>男</v>
      </c>
      <c r="D291" s="11" t="s">
        <v>51</v>
      </c>
      <c r="E291" s="11" t="str">
        <f>"20200210203"</f>
        <v>20200210203</v>
      </c>
      <c r="F291" s="12">
        <v>61.2</v>
      </c>
      <c r="G291" s="11" t="s">
        <v>10</v>
      </c>
    </row>
    <row r="292" s="2" customFormat="1" ht="21" customHeight="1" spans="1:7">
      <c r="A292" s="11">
        <v>289</v>
      </c>
      <c r="B292" s="11" t="str">
        <f>"肖轶"</f>
        <v>肖轶</v>
      </c>
      <c r="C292" s="11" t="str">
        <f>"女"</f>
        <v>女</v>
      </c>
      <c r="D292" s="11" t="s">
        <v>51</v>
      </c>
      <c r="E292" s="11" t="str">
        <f>"20200210107"</f>
        <v>20200210107</v>
      </c>
      <c r="F292" s="12">
        <v>60.6</v>
      </c>
      <c r="G292" s="11" t="s">
        <v>10</v>
      </c>
    </row>
    <row r="293" s="2" customFormat="1" ht="21" customHeight="1" spans="1:7">
      <c r="A293" s="11">
        <v>290</v>
      </c>
      <c r="B293" s="11" t="str">
        <f>"龙素梅"</f>
        <v>龙素梅</v>
      </c>
      <c r="C293" s="11" t="str">
        <f>"女"</f>
        <v>女</v>
      </c>
      <c r="D293" s="11" t="s">
        <v>51</v>
      </c>
      <c r="E293" s="11" t="str">
        <f>"20200210128"</f>
        <v>20200210128</v>
      </c>
      <c r="F293" s="12">
        <v>59.8</v>
      </c>
      <c r="G293" s="11" t="s">
        <v>10</v>
      </c>
    </row>
    <row r="294" s="2" customFormat="1" ht="21" customHeight="1" spans="1:7">
      <c r="A294" s="11">
        <v>291</v>
      </c>
      <c r="B294" s="11" t="str">
        <f>"欧彩霞"</f>
        <v>欧彩霞</v>
      </c>
      <c r="C294" s="11" t="str">
        <f>"女"</f>
        <v>女</v>
      </c>
      <c r="D294" s="11" t="s">
        <v>51</v>
      </c>
      <c r="E294" s="11" t="str">
        <f>"20200210123"</f>
        <v>20200210123</v>
      </c>
      <c r="F294" s="12">
        <v>57.2</v>
      </c>
      <c r="G294" s="11" t="s">
        <v>10</v>
      </c>
    </row>
    <row r="295" s="2" customFormat="1" ht="21" customHeight="1" spans="1:7">
      <c r="A295" s="11">
        <v>292</v>
      </c>
      <c r="B295" s="11" t="str">
        <f>"胡勇"</f>
        <v>胡勇</v>
      </c>
      <c r="C295" s="11" t="str">
        <f>"男"</f>
        <v>男</v>
      </c>
      <c r="D295" s="11" t="s">
        <v>51</v>
      </c>
      <c r="E295" s="11" t="str">
        <f>"20200210002"</f>
        <v>20200210002</v>
      </c>
      <c r="F295" s="12">
        <v>56.2</v>
      </c>
      <c r="G295" s="11" t="s">
        <v>10</v>
      </c>
    </row>
    <row r="296" s="2" customFormat="1" ht="21" customHeight="1" spans="1:7">
      <c r="A296" s="11">
        <v>293</v>
      </c>
      <c r="B296" s="11" t="str">
        <f>"曾碧辉"</f>
        <v>曾碧辉</v>
      </c>
      <c r="C296" s="11" t="str">
        <f>"女"</f>
        <v>女</v>
      </c>
      <c r="D296" s="11" t="s">
        <v>51</v>
      </c>
      <c r="E296" s="11" t="str">
        <f>"20200210018"</f>
        <v>20200210018</v>
      </c>
      <c r="F296" s="12">
        <v>53.6</v>
      </c>
      <c r="G296" s="11" t="s">
        <v>10</v>
      </c>
    </row>
    <row r="297" s="2" customFormat="1" ht="21" customHeight="1" spans="1:7">
      <c r="A297" s="11">
        <v>294</v>
      </c>
      <c r="B297" s="11" t="str">
        <f>"贺达"</f>
        <v>贺达</v>
      </c>
      <c r="C297" s="11" t="str">
        <f>"男"</f>
        <v>男</v>
      </c>
      <c r="D297" s="11" t="s">
        <v>51</v>
      </c>
      <c r="E297" s="11" t="str">
        <f>"20200210211"</f>
        <v>20200210211</v>
      </c>
      <c r="F297" s="12">
        <v>53.6</v>
      </c>
      <c r="G297" s="11" t="s">
        <v>10</v>
      </c>
    </row>
    <row r="298" s="2" customFormat="1" ht="21" customHeight="1" spans="1:7">
      <c r="A298" s="11">
        <v>295</v>
      </c>
      <c r="B298" s="11" t="str">
        <f>"唐雅雯"</f>
        <v>唐雅雯</v>
      </c>
      <c r="C298" s="11" t="str">
        <f t="shared" ref="C298:C312" si="18">"女"</f>
        <v>女</v>
      </c>
      <c r="D298" s="11" t="s">
        <v>52</v>
      </c>
      <c r="E298" s="11" t="str">
        <f>"20200210716"</f>
        <v>20200210716</v>
      </c>
      <c r="F298" s="12">
        <v>91.2</v>
      </c>
      <c r="G298" s="11" t="s">
        <v>10</v>
      </c>
    </row>
    <row r="299" s="2" customFormat="1" ht="21" customHeight="1" spans="1:7">
      <c r="A299" s="11">
        <v>296</v>
      </c>
      <c r="B299" s="11" t="str">
        <f>"宋梦璐"</f>
        <v>宋梦璐</v>
      </c>
      <c r="C299" s="11" t="str">
        <f t="shared" si="18"/>
        <v>女</v>
      </c>
      <c r="D299" s="11" t="s">
        <v>52</v>
      </c>
      <c r="E299" s="11" t="str">
        <f>"20200210420"</f>
        <v>20200210420</v>
      </c>
      <c r="F299" s="12">
        <v>89.6</v>
      </c>
      <c r="G299" s="11" t="s">
        <v>10</v>
      </c>
    </row>
    <row r="300" s="2" customFormat="1" ht="21" customHeight="1" spans="1:7">
      <c r="A300" s="11">
        <v>297</v>
      </c>
      <c r="B300" s="11" t="str">
        <f>"郭姝婧"</f>
        <v>郭姝婧</v>
      </c>
      <c r="C300" s="11" t="str">
        <f t="shared" si="18"/>
        <v>女</v>
      </c>
      <c r="D300" s="11" t="s">
        <v>52</v>
      </c>
      <c r="E300" s="11" t="str">
        <f>"20200211029"</f>
        <v>20200211029</v>
      </c>
      <c r="F300" s="12">
        <v>88.4</v>
      </c>
      <c r="G300" s="11" t="s">
        <v>10</v>
      </c>
    </row>
    <row r="301" s="2" customFormat="1" ht="21" customHeight="1" spans="1:7">
      <c r="A301" s="11">
        <v>298</v>
      </c>
      <c r="B301" s="11" t="str">
        <f>"向芙萍"</f>
        <v>向芙萍</v>
      </c>
      <c r="C301" s="11" t="str">
        <f t="shared" si="18"/>
        <v>女</v>
      </c>
      <c r="D301" s="11" t="s">
        <v>52</v>
      </c>
      <c r="E301" s="11" t="str">
        <f>"20200211326"</f>
        <v>20200211326</v>
      </c>
      <c r="F301" s="12">
        <v>87.2</v>
      </c>
      <c r="G301" s="11" t="s">
        <v>10</v>
      </c>
    </row>
    <row r="302" s="2" customFormat="1" ht="21" customHeight="1" spans="1:7">
      <c r="A302" s="11">
        <v>299</v>
      </c>
      <c r="B302" s="11" t="str">
        <f>"王琴敏"</f>
        <v>王琴敏</v>
      </c>
      <c r="C302" s="11" t="str">
        <f t="shared" si="18"/>
        <v>女</v>
      </c>
      <c r="D302" s="11" t="s">
        <v>52</v>
      </c>
      <c r="E302" s="11" t="str">
        <f>"20200210301"</f>
        <v>20200210301</v>
      </c>
      <c r="F302" s="12">
        <v>85.6</v>
      </c>
      <c r="G302" s="11" t="s">
        <v>10</v>
      </c>
    </row>
    <row r="303" s="2" customFormat="1" ht="21" customHeight="1" spans="1:7">
      <c r="A303" s="11">
        <v>300</v>
      </c>
      <c r="B303" s="11" t="str">
        <f>"林玲"</f>
        <v>林玲</v>
      </c>
      <c r="C303" s="11" t="str">
        <f t="shared" si="18"/>
        <v>女</v>
      </c>
      <c r="D303" s="11" t="s">
        <v>52</v>
      </c>
      <c r="E303" s="11" t="str">
        <f>"20200210719"</f>
        <v>20200210719</v>
      </c>
      <c r="F303" s="12">
        <v>85.6</v>
      </c>
      <c r="G303" s="11" t="s">
        <v>10</v>
      </c>
    </row>
    <row r="304" s="2" customFormat="1" ht="21" customHeight="1" spans="1:7">
      <c r="A304" s="11">
        <v>301</v>
      </c>
      <c r="B304" s="11" t="str">
        <f>"黄若梅"</f>
        <v>黄若梅</v>
      </c>
      <c r="C304" s="11" t="str">
        <f t="shared" si="18"/>
        <v>女</v>
      </c>
      <c r="D304" s="11" t="s">
        <v>52</v>
      </c>
      <c r="E304" s="11" t="str">
        <f>"20200211327"</f>
        <v>20200211327</v>
      </c>
      <c r="F304" s="12">
        <v>84.6</v>
      </c>
      <c r="G304" s="11" t="s">
        <v>10</v>
      </c>
    </row>
    <row r="305" s="2" customFormat="1" ht="21" customHeight="1" spans="1:7">
      <c r="A305" s="11">
        <v>302</v>
      </c>
      <c r="B305" s="11" t="str">
        <f>"周添"</f>
        <v>周添</v>
      </c>
      <c r="C305" s="11" t="str">
        <f t="shared" si="18"/>
        <v>女</v>
      </c>
      <c r="D305" s="11" t="s">
        <v>52</v>
      </c>
      <c r="E305" s="11" t="str">
        <f>"20200211121"</f>
        <v>20200211121</v>
      </c>
      <c r="F305" s="12">
        <v>83.8</v>
      </c>
      <c r="G305" s="11" t="s">
        <v>10</v>
      </c>
    </row>
    <row r="306" s="2" customFormat="1" ht="21" customHeight="1" spans="1:7">
      <c r="A306" s="11">
        <v>303</v>
      </c>
      <c r="B306" s="11" t="str">
        <f>"肖璐莎"</f>
        <v>肖璐莎</v>
      </c>
      <c r="C306" s="11" t="str">
        <f t="shared" si="18"/>
        <v>女</v>
      </c>
      <c r="D306" s="11" t="s">
        <v>52</v>
      </c>
      <c r="E306" s="11" t="str">
        <f>"20200211120"</f>
        <v>20200211120</v>
      </c>
      <c r="F306" s="12">
        <v>83.6</v>
      </c>
      <c r="G306" s="11" t="s">
        <v>10</v>
      </c>
    </row>
    <row r="307" s="2" customFormat="1" ht="21" customHeight="1" spans="1:7">
      <c r="A307" s="11">
        <v>304</v>
      </c>
      <c r="B307" s="11" t="str">
        <f>"李晓薇"</f>
        <v>李晓薇</v>
      </c>
      <c r="C307" s="11" t="str">
        <f t="shared" si="18"/>
        <v>女</v>
      </c>
      <c r="D307" s="11" t="s">
        <v>52</v>
      </c>
      <c r="E307" s="11" t="str">
        <f>"20200211305"</f>
        <v>20200211305</v>
      </c>
      <c r="F307" s="12">
        <v>83.6</v>
      </c>
      <c r="G307" s="11" t="s">
        <v>10</v>
      </c>
    </row>
    <row r="308" s="2" customFormat="1" ht="21" customHeight="1" spans="1:7">
      <c r="A308" s="11">
        <v>305</v>
      </c>
      <c r="B308" s="11" t="str">
        <f>"刘芬"</f>
        <v>刘芬</v>
      </c>
      <c r="C308" s="11" t="str">
        <f t="shared" si="18"/>
        <v>女</v>
      </c>
      <c r="D308" s="11" t="s">
        <v>52</v>
      </c>
      <c r="E308" s="11" t="str">
        <f>"20200211404"</f>
        <v>20200211404</v>
      </c>
      <c r="F308" s="12">
        <v>83.4</v>
      </c>
      <c r="G308" s="11" t="s">
        <v>10</v>
      </c>
    </row>
    <row r="309" s="2" customFormat="1" ht="21" customHeight="1" spans="1:7">
      <c r="A309" s="11">
        <v>306</v>
      </c>
      <c r="B309" s="11" t="str">
        <f>"谢冠群"</f>
        <v>谢冠群</v>
      </c>
      <c r="C309" s="11" t="str">
        <f t="shared" si="18"/>
        <v>女</v>
      </c>
      <c r="D309" s="11" t="s">
        <v>52</v>
      </c>
      <c r="E309" s="11" t="str">
        <f>"20200210304"</f>
        <v>20200210304</v>
      </c>
      <c r="F309" s="12">
        <v>82.8</v>
      </c>
      <c r="G309" s="11" t="s">
        <v>10</v>
      </c>
    </row>
    <row r="310" s="2" customFormat="1" ht="21" customHeight="1" spans="1:7">
      <c r="A310" s="11">
        <v>307</v>
      </c>
      <c r="B310" s="11" t="str">
        <f>"谢凤"</f>
        <v>谢凤</v>
      </c>
      <c r="C310" s="11" t="str">
        <f t="shared" si="18"/>
        <v>女</v>
      </c>
      <c r="D310" s="11" t="s">
        <v>52</v>
      </c>
      <c r="E310" s="11" t="str">
        <f>"20200211324"</f>
        <v>20200211324</v>
      </c>
      <c r="F310" s="12">
        <v>82.8</v>
      </c>
      <c r="G310" s="11" t="s">
        <v>10</v>
      </c>
    </row>
    <row r="311" s="2" customFormat="1" ht="21" customHeight="1" spans="1:7">
      <c r="A311" s="11">
        <v>308</v>
      </c>
      <c r="B311" s="11" t="str">
        <f>"谭心瑶"</f>
        <v>谭心瑶</v>
      </c>
      <c r="C311" s="11" t="str">
        <f t="shared" si="18"/>
        <v>女</v>
      </c>
      <c r="D311" s="11" t="s">
        <v>52</v>
      </c>
      <c r="E311" s="11" t="str">
        <f>"20200210411"</f>
        <v>20200210411</v>
      </c>
      <c r="F311" s="12">
        <v>81.6</v>
      </c>
      <c r="G311" s="11" t="s">
        <v>10</v>
      </c>
    </row>
    <row r="312" s="2" customFormat="1" ht="21" customHeight="1" spans="1:7">
      <c r="A312" s="11">
        <v>309</v>
      </c>
      <c r="B312" s="11" t="str">
        <f>"刘聪"</f>
        <v>刘聪</v>
      </c>
      <c r="C312" s="11" t="str">
        <f t="shared" si="18"/>
        <v>女</v>
      </c>
      <c r="D312" s="11" t="s">
        <v>52</v>
      </c>
      <c r="E312" s="11" t="str">
        <f>"20200210427"</f>
        <v>20200210427</v>
      </c>
      <c r="F312" s="12">
        <v>81.6</v>
      </c>
      <c r="G312" s="11" t="s">
        <v>10</v>
      </c>
    </row>
    <row r="313" s="2" customFormat="1" ht="21" customHeight="1" spans="1:7">
      <c r="A313" s="11">
        <v>310</v>
      </c>
      <c r="B313" s="11" t="str">
        <f>"郭琪霄"</f>
        <v>郭琪霄</v>
      </c>
      <c r="C313" s="11" t="str">
        <f t="shared" ref="C313:C320" si="19">"女"</f>
        <v>女</v>
      </c>
      <c r="D313" s="11" t="s">
        <v>53</v>
      </c>
      <c r="E313" s="11" t="str">
        <f>"20200211614"</f>
        <v>20200211614</v>
      </c>
      <c r="F313" s="12">
        <v>89.7</v>
      </c>
      <c r="G313" s="11" t="s">
        <v>10</v>
      </c>
    </row>
    <row r="314" s="2" customFormat="1" ht="21" customHeight="1" spans="1:7">
      <c r="A314" s="11">
        <v>311</v>
      </c>
      <c r="B314" s="11" t="str">
        <f>"刘筱娴"</f>
        <v>刘筱娴</v>
      </c>
      <c r="C314" s="11" t="str">
        <f t="shared" si="19"/>
        <v>女</v>
      </c>
      <c r="D314" s="11" t="s">
        <v>53</v>
      </c>
      <c r="E314" s="11" t="str">
        <f>"20200211716"</f>
        <v>20200211716</v>
      </c>
      <c r="F314" s="12">
        <v>88.4</v>
      </c>
      <c r="G314" s="11" t="s">
        <v>10</v>
      </c>
    </row>
    <row r="315" s="2" customFormat="1" ht="21" customHeight="1" spans="1:7">
      <c r="A315" s="11">
        <v>312</v>
      </c>
      <c r="B315" s="11" t="str">
        <f>"田亚妮"</f>
        <v>田亚妮</v>
      </c>
      <c r="C315" s="11" t="str">
        <f t="shared" si="19"/>
        <v>女</v>
      </c>
      <c r="D315" s="11" t="s">
        <v>53</v>
      </c>
      <c r="E315" s="11" t="str">
        <f>"20200211709"</f>
        <v>20200211709</v>
      </c>
      <c r="F315" s="12">
        <v>86.6</v>
      </c>
      <c r="G315" s="11" t="s">
        <v>10</v>
      </c>
    </row>
    <row r="316" s="2" customFormat="1" ht="21" customHeight="1" spans="1:7">
      <c r="A316" s="11">
        <v>313</v>
      </c>
      <c r="B316" s="11" t="str">
        <f>"汤赛"</f>
        <v>汤赛</v>
      </c>
      <c r="C316" s="11" t="str">
        <f t="shared" si="19"/>
        <v>女</v>
      </c>
      <c r="D316" s="11" t="s">
        <v>53</v>
      </c>
      <c r="E316" s="11" t="str">
        <f>"20200211911"</f>
        <v>20200211911</v>
      </c>
      <c r="F316" s="12">
        <v>86.6</v>
      </c>
      <c r="G316" s="11" t="s">
        <v>10</v>
      </c>
    </row>
    <row r="317" s="2" customFormat="1" ht="21" customHeight="1" spans="1:7">
      <c r="A317" s="11">
        <v>314</v>
      </c>
      <c r="B317" s="11" t="str">
        <f>"陈艳红"</f>
        <v>陈艳红</v>
      </c>
      <c r="C317" s="11" t="str">
        <f t="shared" si="19"/>
        <v>女</v>
      </c>
      <c r="D317" s="11" t="s">
        <v>53</v>
      </c>
      <c r="E317" s="11" t="str">
        <f>"20200211904"</f>
        <v>20200211904</v>
      </c>
      <c r="F317" s="12">
        <v>86.2</v>
      </c>
      <c r="G317" s="11" t="s">
        <v>10</v>
      </c>
    </row>
    <row r="318" s="2" customFormat="1" ht="21" customHeight="1" spans="1:7">
      <c r="A318" s="11">
        <v>315</v>
      </c>
      <c r="B318" s="11" t="str">
        <f>"杨静"</f>
        <v>杨静</v>
      </c>
      <c r="C318" s="11" t="str">
        <f t="shared" si="19"/>
        <v>女</v>
      </c>
      <c r="D318" s="11" t="s">
        <v>53</v>
      </c>
      <c r="E318" s="11" t="str">
        <f>"20200211712"</f>
        <v>20200211712</v>
      </c>
      <c r="F318" s="12">
        <v>86.1</v>
      </c>
      <c r="G318" s="11" t="s">
        <v>10</v>
      </c>
    </row>
    <row r="319" s="2" customFormat="1" ht="21" customHeight="1" spans="1:7">
      <c r="A319" s="11">
        <v>316</v>
      </c>
      <c r="B319" s="11" t="str">
        <f>"贺文彬"</f>
        <v>贺文彬</v>
      </c>
      <c r="C319" s="11" t="str">
        <f t="shared" si="19"/>
        <v>女</v>
      </c>
      <c r="D319" s="11" t="s">
        <v>53</v>
      </c>
      <c r="E319" s="11" t="str">
        <f>"20200211503"</f>
        <v>20200211503</v>
      </c>
      <c r="F319" s="12">
        <v>85.6</v>
      </c>
      <c r="G319" s="11" t="s">
        <v>10</v>
      </c>
    </row>
    <row r="320" s="2" customFormat="1" ht="21" customHeight="1" spans="1:7">
      <c r="A320" s="11">
        <v>317</v>
      </c>
      <c r="B320" s="11" t="str">
        <f>"刘倩"</f>
        <v>刘倩</v>
      </c>
      <c r="C320" s="11" t="str">
        <f t="shared" si="19"/>
        <v>女</v>
      </c>
      <c r="D320" s="11" t="s">
        <v>53</v>
      </c>
      <c r="E320" s="11" t="str">
        <f>"20200211928"</f>
        <v>20200211928</v>
      </c>
      <c r="F320" s="12">
        <v>83.6</v>
      </c>
      <c r="G320" s="11" t="s">
        <v>10</v>
      </c>
    </row>
    <row r="321" s="2" customFormat="1" ht="21" customHeight="1" spans="1:7">
      <c r="A321" s="11">
        <v>318</v>
      </c>
      <c r="B321" s="11" t="str">
        <f>"尹恒"</f>
        <v>尹恒</v>
      </c>
      <c r="C321" s="11" t="str">
        <f>"男"</f>
        <v>男</v>
      </c>
      <c r="D321" s="11" t="s">
        <v>54</v>
      </c>
      <c r="E321" s="11" t="str">
        <f>"20200110728"</f>
        <v>20200110728</v>
      </c>
      <c r="F321" s="12">
        <v>86.4</v>
      </c>
      <c r="G321" s="11" t="s">
        <v>10</v>
      </c>
    </row>
    <row r="322" s="2" customFormat="1" ht="21" customHeight="1" spans="1:7">
      <c r="A322" s="11">
        <v>319</v>
      </c>
      <c r="B322" s="11" t="str">
        <f>"黄媛"</f>
        <v>黄媛</v>
      </c>
      <c r="C322" s="11" t="str">
        <f t="shared" ref="C322:C330" si="20">"女"</f>
        <v>女</v>
      </c>
      <c r="D322" s="11" t="s">
        <v>54</v>
      </c>
      <c r="E322" s="11" t="str">
        <f>"20200110609"</f>
        <v>20200110609</v>
      </c>
      <c r="F322" s="12">
        <v>85.2</v>
      </c>
      <c r="G322" s="11" t="s">
        <v>10</v>
      </c>
    </row>
    <row r="323" s="2" customFormat="1" ht="21" customHeight="1" spans="1:7">
      <c r="A323" s="11">
        <v>320</v>
      </c>
      <c r="B323" s="11" t="str">
        <f>"王映红"</f>
        <v>王映红</v>
      </c>
      <c r="C323" s="11" t="str">
        <f t="shared" si="20"/>
        <v>女</v>
      </c>
      <c r="D323" s="11" t="s">
        <v>54</v>
      </c>
      <c r="E323" s="11" t="str">
        <f>"20200110111"</f>
        <v>20200110111</v>
      </c>
      <c r="F323" s="12">
        <v>83.9</v>
      </c>
      <c r="G323" s="11" t="s">
        <v>10</v>
      </c>
    </row>
    <row r="324" s="2" customFormat="1" ht="21" customHeight="1" spans="1:7">
      <c r="A324" s="11">
        <v>321</v>
      </c>
      <c r="B324" s="11" t="str">
        <f>"杨灿"</f>
        <v>杨灿</v>
      </c>
      <c r="C324" s="11" t="str">
        <f t="shared" si="20"/>
        <v>女</v>
      </c>
      <c r="D324" s="11" t="s">
        <v>54</v>
      </c>
      <c r="E324" s="11" t="str">
        <f>"20200110214"</f>
        <v>20200110214</v>
      </c>
      <c r="F324" s="12">
        <v>83.1</v>
      </c>
      <c r="G324" s="11" t="s">
        <v>10</v>
      </c>
    </row>
    <row r="325" s="2" customFormat="1" ht="21" customHeight="1" spans="1:7">
      <c r="A325" s="11">
        <v>322</v>
      </c>
      <c r="B325" s="11" t="str">
        <f>"贺倩"</f>
        <v>贺倩</v>
      </c>
      <c r="C325" s="11" t="str">
        <f t="shared" si="20"/>
        <v>女</v>
      </c>
      <c r="D325" s="11" t="s">
        <v>54</v>
      </c>
      <c r="E325" s="11" t="str">
        <f>"20200109928"</f>
        <v>20200109928</v>
      </c>
      <c r="F325" s="12">
        <v>82.8</v>
      </c>
      <c r="G325" s="11" t="s">
        <v>10</v>
      </c>
    </row>
    <row r="326" s="2" customFormat="1" ht="21" customHeight="1" spans="1:7">
      <c r="A326" s="11">
        <v>323</v>
      </c>
      <c r="B326" s="11" t="str">
        <f>"李思特"</f>
        <v>李思特</v>
      </c>
      <c r="C326" s="11" t="str">
        <f t="shared" si="20"/>
        <v>女</v>
      </c>
      <c r="D326" s="11" t="s">
        <v>54</v>
      </c>
      <c r="E326" s="11" t="str">
        <f>"20200110516"</f>
        <v>20200110516</v>
      </c>
      <c r="F326" s="12">
        <v>82.4</v>
      </c>
      <c r="G326" s="11" t="s">
        <v>10</v>
      </c>
    </row>
    <row r="327" s="2" customFormat="1" ht="21" customHeight="1" spans="1:7">
      <c r="A327" s="11">
        <v>324</v>
      </c>
      <c r="B327" s="11" t="str">
        <f>"万尚文"</f>
        <v>万尚文</v>
      </c>
      <c r="C327" s="11" t="str">
        <f t="shared" si="20"/>
        <v>女</v>
      </c>
      <c r="D327" s="11" t="s">
        <v>54</v>
      </c>
      <c r="E327" s="11" t="str">
        <f>"20200108913"</f>
        <v>20200108913</v>
      </c>
      <c r="F327" s="12">
        <v>81.7</v>
      </c>
      <c r="G327" s="11" t="s">
        <v>10</v>
      </c>
    </row>
    <row r="328" s="2" customFormat="1" ht="21" customHeight="1" spans="1:7">
      <c r="A328" s="11">
        <v>325</v>
      </c>
      <c r="B328" s="11" t="str">
        <f>"谌婵娟"</f>
        <v>谌婵娟</v>
      </c>
      <c r="C328" s="11" t="str">
        <f t="shared" si="20"/>
        <v>女</v>
      </c>
      <c r="D328" s="11" t="s">
        <v>54</v>
      </c>
      <c r="E328" s="11" t="str">
        <f>"20200110309"</f>
        <v>20200110309</v>
      </c>
      <c r="F328" s="12">
        <v>81.6</v>
      </c>
      <c r="G328" s="11" t="s">
        <v>10</v>
      </c>
    </row>
    <row r="329" s="2" customFormat="1" ht="21" customHeight="1" spans="1:7">
      <c r="A329" s="11">
        <v>326</v>
      </c>
      <c r="B329" s="11" t="str">
        <f>"钟友赛"</f>
        <v>钟友赛</v>
      </c>
      <c r="C329" s="11" t="str">
        <f t="shared" si="20"/>
        <v>女</v>
      </c>
      <c r="D329" s="11" t="s">
        <v>55</v>
      </c>
      <c r="E329" s="11" t="str">
        <f>"20200212106"</f>
        <v>20200212106</v>
      </c>
      <c r="F329" s="12">
        <v>83.9</v>
      </c>
      <c r="G329" s="11" t="s">
        <v>10</v>
      </c>
    </row>
    <row r="330" s="2" customFormat="1" ht="21" customHeight="1" spans="1:7">
      <c r="A330" s="11">
        <v>327</v>
      </c>
      <c r="B330" s="11" t="str">
        <f>"于琼"</f>
        <v>于琼</v>
      </c>
      <c r="C330" s="11" t="str">
        <f t="shared" si="20"/>
        <v>女</v>
      </c>
      <c r="D330" s="11" t="s">
        <v>55</v>
      </c>
      <c r="E330" s="11" t="str">
        <f>"20200212125"</f>
        <v>20200212125</v>
      </c>
      <c r="F330" s="12">
        <v>83.7</v>
      </c>
      <c r="G330" s="11" t="s">
        <v>10</v>
      </c>
    </row>
  </sheetData>
  <mergeCells count="2">
    <mergeCell ref="A1:B1"/>
    <mergeCell ref="A2:G2"/>
  </mergeCells>
  <pageMargins left="0.69" right="0.551181102362205" top="0.551181102362205" bottom="0.551181102362205" header="0.31496062992126" footer="0.31496062992126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面试入围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非你莫属</cp:lastModifiedBy>
  <dcterms:created xsi:type="dcterms:W3CDTF">2006-09-16T00:00:00Z</dcterms:created>
  <cp:lastPrinted>2020-07-16T01:14:00Z</cp:lastPrinted>
  <dcterms:modified xsi:type="dcterms:W3CDTF">2020-07-20T01:48:14Z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