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<sst xmlns="http://schemas.openxmlformats.org/spreadsheetml/2006/main" count="2257" uniqueCount="31">
  <si>
    <t>附件1.临高县2022年中小学校教师公开招聘通过资格初审进入笔试人员名单</t>
  </si>
  <si>
    <t>序号</t>
  </si>
  <si>
    <t>报考号</t>
  </si>
  <si>
    <t>报考岗位</t>
  </si>
  <si>
    <t>姓名</t>
  </si>
  <si>
    <t>性别</t>
  </si>
  <si>
    <t>0101_小学语文</t>
  </si>
  <si>
    <t>0102_小学数学</t>
  </si>
  <si>
    <t>0103_小学英语</t>
  </si>
  <si>
    <t>0104_小学思品</t>
  </si>
  <si>
    <t>0105_小学体育</t>
  </si>
  <si>
    <t>0106_小学美术</t>
  </si>
  <si>
    <t>0201_初中语文</t>
  </si>
  <si>
    <t>0202_初中数学</t>
  </si>
  <si>
    <t>0203_初中英语</t>
  </si>
  <si>
    <t>0204_初中物理</t>
  </si>
  <si>
    <t>0205_初中历史</t>
  </si>
  <si>
    <t>0206_初中地理</t>
  </si>
  <si>
    <t>0207_初中生物</t>
  </si>
  <si>
    <t>0208_初中体育</t>
  </si>
  <si>
    <t>0301_高中语文</t>
  </si>
  <si>
    <t>0302_高中数学</t>
  </si>
  <si>
    <t>0303_高中英语</t>
  </si>
  <si>
    <t>0304_高中物理</t>
  </si>
  <si>
    <t>0305_高中化学</t>
  </si>
  <si>
    <t>0306_高中历史</t>
  </si>
  <si>
    <t>0307_高中地理</t>
  </si>
  <si>
    <t>0308_高中生物</t>
  </si>
  <si>
    <t>0309_高中体育</t>
  </si>
  <si>
    <t>0310_高中心理</t>
  </si>
  <si>
    <t>0311_高中通用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</si>
</sst>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53"/>
  <sheetViews>
    <sheetView tabSelected="1" topLeftCell="A55" workbookViewId="0">
      <selection activeCell="C6" sqref="C6"/>
    </sheetView>
  </sheetViews>
  <sheetFormatPr defaultColWidth="9" defaultRowHeight="22" customHeight="1" outlineLevelCol="4"/>
  <cols>
    <col min="1" max="1" width="8.125" style="1" customWidth="1"/>
    <col min="2" max="2" width="34.375" style="1" customWidth="1"/>
    <col min="3" max="3" width="19.375" style="1" customWidth="1"/>
    <col min="4" max="4" width="13.125" style="1" customWidth="1"/>
    <col min="5" max="16384" width="9" style="1"/>
  </cols>
  <sheetData>
    <row r="1" ht="57" customHeight="1" spans="1:5">
      <c r="A1" s="2" t="s">
        <v>0</v>
      </c>
      <c r="B1" s="2"/>
      <c r="C1" s="2"/>
      <c r="D1" s="2"/>
      <c r="E1" s="2"/>
    </row>
    <row r="2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customHeight="1" spans="1:5">
      <c r="A3" s="4">
        <v>1</v>
      </c>
      <c r="B3" s="4" t="str">
        <f>"431720220806090814231199"</f>
        <v>431720220806090814231199</v>
      </c>
      <c r="C3" s="5" t="s">
        <v>6</v>
      </c>
      <c r="D3" s="4" t="str">
        <f>"邱小颜"</f>
        <v>邱小颜</v>
      </c>
      <c r="E3" s="4" t="str">
        <f t="shared" ref="E3:E8" si="0">"女"</f>
        <v>女</v>
      </c>
    </row>
    <row r="4" customHeight="1" spans="1:5">
      <c r="A4" s="4">
        <v>2</v>
      </c>
      <c r="B4" s="4" t="str">
        <f>"431720220806091003231207"</f>
        <v>431720220806091003231207</v>
      </c>
      <c r="C4" s="5" t="s">
        <v>6</v>
      </c>
      <c r="D4" s="4" t="str">
        <f>"黎丽菁"</f>
        <v>黎丽菁</v>
      </c>
      <c r="E4" s="4" t="str">
        <f t="shared" si="0"/>
        <v>女</v>
      </c>
    </row>
    <row r="5" customHeight="1" spans="1:5">
      <c r="A5" s="4">
        <v>3</v>
      </c>
      <c r="B5" s="4" t="str">
        <f>"431720220806091625231231"</f>
        <v>431720220806091625231231</v>
      </c>
      <c r="C5" s="5" t="s">
        <v>6</v>
      </c>
      <c r="D5" s="4" t="str">
        <f>"陈益端"</f>
        <v>陈益端</v>
      </c>
      <c r="E5" s="4" t="str">
        <f>"男"</f>
        <v>男</v>
      </c>
    </row>
    <row r="6" customHeight="1" spans="1:5">
      <c r="A6" s="4">
        <v>4</v>
      </c>
      <c r="B6" s="4" t="str">
        <f>"431720220806091923231240"</f>
        <v>431720220806091923231240</v>
      </c>
      <c r="C6" s="5" t="s">
        <v>6</v>
      </c>
      <c r="D6" s="4" t="str">
        <f>"陈琳"</f>
        <v>陈琳</v>
      </c>
      <c r="E6" s="4" t="str">
        <f t="shared" si="0"/>
        <v>女</v>
      </c>
    </row>
    <row r="7" customHeight="1" spans="1:5">
      <c r="A7" s="4">
        <v>5</v>
      </c>
      <c r="B7" s="4" t="str">
        <f>"431720220806092515231264"</f>
        <v>431720220806092515231264</v>
      </c>
      <c r="C7" s="5" t="s">
        <v>6</v>
      </c>
      <c r="D7" s="4" t="str">
        <f>"陈经妹"</f>
        <v>陈经妹</v>
      </c>
      <c r="E7" s="4" t="str">
        <f t="shared" si="0"/>
        <v>女</v>
      </c>
    </row>
    <row r="8" customHeight="1" spans="1:5">
      <c r="A8" s="4">
        <v>6</v>
      </c>
      <c r="B8" s="4" t="str">
        <f>"431720220806092524231265"</f>
        <v>431720220806092524231265</v>
      </c>
      <c r="C8" s="5" t="s">
        <v>6</v>
      </c>
      <c r="D8" s="4" t="str">
        <f>"李柳妍"</f>
        <v>李柳妍</v>
      </c>
      <c r="E8" s="4" t="str">
        <f t="shared" si="0"/>
        <v>女</v>
      </c>
    </row>
    <row r="9" customHeight="1" spans="1:5">
      <c r="A9" s="4">
        <v>7</v>
      </c>
      <c r="B9" s="4" t="str">
        <f>"431720220806093530231291"</f>
        <v>431720220806093530231291</v>
      </c>
      <c r="C9" s="5" t="s">
        <v>6</v>
      </c>
      <c r="D9" s="4" t="str">
        <f>"王胜丰"</f>
        <v>王胜丰</v>
      </c>
      <c r="E9" s="4" t="str">
        <f>"男"</f>
        <v>男</v>
      </c>
    </row>
    <row r="10" customHeight="1" spans="1:5">
      <c r="A10" s="4">
        <v>8</v>
      </c>
      <c r="B10" s="4" t="str">
        <f>"431720220806094552231324"</f>
        <v>431720220806094552231324</v>
      </c>
      <c r="C10" s="5" t="s">
        <v>6</v>
      </c>
      <c r="D10" s="4" t="str">
        <f>"陈亚燕"</f>
        <v>陈亚燕</v>
      </c>
      <c r="E10" s="4" t="str">
        <f t="shared" ref="E10:E45" si="1">"女"</f>
        <v>女</v>
      </c>
    </row>
    <row r="11" customHeight="1" spans="1:5">
      <c r="A11" s="4">
        <v>9</v>
      </c>
      <c r="B11" s="4" t="str">
        <f>"431720220806095056231349"</f>
        <v>431720220806095056231349</v>
      </c>
      <c r="C11" s="5" t="s">
        <v>6</v>
      </c>
      <c r="D11" s="4" t="str">
        <f>"羊秀恋"</f>
        <v>羊秀恋</v>
      </c>
      <c r="E11" s="4" t="str">
        <f t="shared" si="1"/>
        <v>女</v>
      </c>
    </row>
    <row r="12" customHeight="1" spans="1:5">
      <c r="A12" s="4">
        <v>10</v>
      </c>
      <c r="B12" s="4" t="str">
        <f>"431720220806095116231351"</f>
        <v>431720220806095116231351</v>
      </c>
      <c r="C12" s="5" t="s">
        <v>6</v>
      </c>
      <c r="D12" s="4" t="str">
        <f>"邓正婵"</f>
        <v>邓正婵</v>
      </c>
      <c r="E12" s="4" t="str">
        <f t="shared" si="1"/>
        <v>女</v>
      </c>
    </row>
    <row r="13" customHeight="1" spans="1:5">
      <c r="A13" s="4">
        <v>11</v>
      </c>
      <c r="B13" s="4" t="str">
        <f>"431720220806100012231375"</f>
        <v>431720220806100012231375</v>
      </c>
      <c r="C13" s="5" t="s">
        <v>6</v>
      </c>
      <c r="D13" s="4" t="str">
        <f>"王鑫花"</f>
        <v>王鑫花</v>
      </c>
      <c r="E13" s="4" t="str">
        <f t="shared" si="1"/>
        <v>女</v>
      </c>
    </row>
    <row r="14" customHeight="1" spans="1:5">
      <c r="A14" s="4">
        <v>12</v>
      </c>
      <c r="B14" s="4" t="str">
        <f>"431720220806100217231384"</f>
        <v>431720220806100217231384</v>
      </c>
      <c r="C14" s="5" t="s">
        <v>6</v>
      </c>
      <c r="D14" s="4" t="str">
        <f>"孙映茹"</f>
        <v>孙映茹</v>
      </c>
      <c r="E14" s="4" t="str">
        <f t="shared" si="1"/>
        <v>女</v>
      </c>
    </row>
    <row r="15" customHeight="1" spans="1:5">
      <c r="A15" s="4">
        <v>13</v>
      </c>
      <c r="B15" s="4" t="str">
        <f>"431720220806100446231397"</f>
        <v>431720220806100446231397</v>
      </c>
      <c r="C15" s="5" t="s">
        <v>6</v>
      </c>
      <c r="D15" s="4" t="str">
        <f>"黄丹"</f>
        <v>黄丹</v>
      </c>
      <c r="E15" s="4" t="str">
        <f t="shared" si="1"/>
        <v>女</v>
      </c>
    </row>
    <row r="16" customHeight="1" spans="1:5">
      <c r="A16" s="4">
        <v>14</v>
      </c>
      <c r="B16" s="4" t="str">
        <f>"431720220806100716231404"</f>
        <v>431720220806100716231404</v>
      </c>
      <c r="C16" s="5" t="s">
        <v>6</v>
      </c>
      <c r="D16" s="4" t="str">
        <f>"陈思思"</f>
        <v>陈思思</v>
      </c>
      <c r="E16" s="4" t="str">
        <f t="shared" si="1"/>
        <v>女</v>
      </c>
    </row>
    <row r="17" customHeight="1" spans="1:5">
      <c r="A17" s="4">
        <v>15</v>
      </c>
      <c r="B17" s="4" t="str">
        <f>"431720220806101047231411"</f>
        <v>431720220806101047231411</v>
      </c>
      <c r="C17" s="5" t="s">
        <v>6</v>
      </c>
      <c r="D17" s="4" t="str">
        <f>"张莎莎"</f>
        <v>张莎莎</v>
      </c>
      <c r="E17" s="4" t="str">
        <f t="shared" si="1"/>
        <v>女</v>
      </c>
    </row>
    <row r="18" customHeight="1" spans="1:5">
      <c r="A18" s="4">
        <v>16</v>
      </c>
      <c r="B18" s="4" t="str">
        <f>"431720220806102457231450"</f>
        <v>431720220806102457231450</v>
      </c>
      <c r="C18" s="5" t="s">
        <v>6</v>
      </c>
      <c r="D18" s="4" t="str">
        <f>"陈小慧"</f>
        <v>陈小慧</v>
      </c>
      <c r="E18" s="4" t="str">
        <f t="shared" si="1"/>
        <v>女</v>
      </c>
    </row>
    <row r="19" customHeight="1" spans="1:5">
      <c r="A19" s="4">
        <v>17</v>
      </c>
      <c r="B19" s="4" t="str">
        <f>"431720220806102510231451"</f>
        <v>431720220806102510231451</v>
      </c>
      <c r="C19" s="5" t="s">
        <v>6</v>
      </c>
      <c r="D19" s="4" t="str">
        <f>"聂金燕"</f>
        <v>聂金燕</v>
      </c>
      <c r="E19" s="4" t="str">
        <f t="shared" si="1"/>
        <v>女</v>
      </c>
    </row>
    <row r="20" customHeight="1" spans="1:5">
      <c r="A20" s="4">
        <v>18</v>
      </c>
      <c r="B20" s="4" t="str">
        <f>"431720220806102551231456"</f>
        <v>431720220806102551231456</v>
      </c>
      <c r="C20" s="5" t="s">
        <v>6</v>
      </c>
      <c r="D20" s="4" t="str">
        <f>"王翠萍"</f>
        <v>王翠萍</v>
      </c>
      <c r="E20" s="4" t="str">
        <f t="shared" si="1"/>
        <v>女</v>
      </c>
    </row>
    <row r="21" customHeight="1" spans="1:5">
      <c r="A21" s="4">
        <v>19</v>
      </c>
      <c r="B21" s="4" t="str">
        <f>"431720220806103935231497"</f>
        <v>431720220806103935231497</v>
      </c>
      <c r="C21" s="5" t="s">
        <v>6</v>
      </c>
      <c r="D21" s="4" t="str">
        <f>"梁姑美"</f>
        <v>梁姑美</v>
      </c>
      <c r="E21" s="4" t="str">
        <f t="shared" si="1"/>
        <v>女</v>
      </c>
    </row>
    <row r="22" customHeight="1" spans="1:5">
      <c r="A22" s="4">
        <v>20</v>
      </c>
      <c r="B22" s="4" t="str">
        <f>"431720220806103943231499"</f>
        <v>431720220806103943231499</v>
      </c>
      <c r="C22" s="5" t="s">
        <v>6</v>
      </c>
      <c r="D22" s="4" t="str">
        <f>"吴晒珍"</f>
        <v>吴晒珍</v>
      </c>
      <c r="E22" s="4" t="str">
        <f t="shared" si="1"/>
        <v>女</v>
      </c>
    </row>
    <row r="23" customHeight="1" spans="1:5">
      <c r="A23" s="4">
        <v>21</v>
      </c>
      <c r="B23" s="4" t="str">
        <f>"431720220806105052231535"</f>
        <v>431720220806105052231535</v>
      </c>
      <c r="C23" s="5" t="s">
        <v>6</v>
      </c>
      <c r="D23" s="4" t="str">
        <f>"王小惠"</f>
        <v>王小惠</v>
      </c>
      <c r="E23" s="4" t="str">
        <f t="shared" si="1"/>
        <v>女</v>
      </c>
    </row>
    <row r="24" customHeight="1" spans="1:5">
      <c r="A24" s="4">
        <v>22</v>
      </c>
      <c r="B24" s="4" t="str">
        <f>"431720220806110430231577"</f>
        <v>431720220806110430231577</v>
      </c>
      <c r="C24" s="5" t="s">
        <v>6</v>
      </c>
      <c r="D24" s="4" t="str">
        <f>"李月秋"</f>
        <v>李月秋</v>
      </c>
      <c r="E24" s="4" t="str">
        <f t="shared" si="1"/>
        <v>女</v>
      </c>
    </row>
    <row r="25" customHeight="1" spans="1:5">
      <c r="A25" s="4">
        <v>23</v>
      </c>
      <c r="B25" s="4" t="str">
        <f>"431720220806110430231578"</f>
        <v>431720220806110430231578</v>
      </c>
      <c r="C25" s="5" t="s">
        <v>6</v>
      </c>
      <c r="D25" s="4" t="str">
        <f>"赵日绵"</f>
        <v>赵日绵</v>
      </c>
      <c r="E25" s="4" t="str">
        <f t="shared" si="1"/>
        <v>女</v>
      </c>
    </row>
    <row r="26" customHeight="1" spans="1:5">
      <c r="A26" s="4">
        <v>24</v>
      </c>
      <c r="B26" s="4" t="str">
        <f>"431720220806111216231601"</f>
        <v>431720220806111216231601</v>
      </c>
      <c r="C26" s="5" t="s">
        <v>6</v>
      </c>
      <c r="D26" s="4" t="str">
        <f>"王玲玉"</f>
        <v>王玲玉</v>
      </c>
      <c r="E26" s="4" t="str">
        <f t="shared" si="1"/>
        <v>女</v>
      </c>
    </row>
    <row r="27" customHeight="1" spans="1:5">
      <c r="A27" s="4">
        <v>25</v>
      </c>
      <c r="B27" s="4" t="str">
        <f>"431720220806111416231609"</f>
        <v>431720220806111416231609</v>
      </c>
      <c r="C27" s="5" t="s">
        <v>6</v>
      </c>
      <c r="D27" s="4" t="str">
        <f>"张飘飘"</f>
        <v>张飘飘</v>
      </c>
      <c r="E27" s="4" t="str">
        <f t="shared" si="1"/>
        <v>女</v>
      </c>
    </row>
    <row r="28" customHeight="1" spans="1:5">
      <c r="A28" s="4">
        <v>26</v>
      </c>
      <c r="B28" s="4" t="str">
        <f>"431720220806111538231614"</f>
        <v>431720220806111538231614</v>
      </c>
      <c r="C28" s="5" t="s">
        <v>6</v>
      </c>
      <c r="D28" s="4" t="str">
        <f>"李仪"</f>
        <v>李仪</v>
      </c>
      <c r="E28" s="4" t="str">
        <f t="shared" si="1"/>
        <v>女</v>
      </c>
    </row>
    <row r="29" customHeight="1" spans="1:5">
      <c r="A29" s="4">
        <v>27</v>
      </c>
      <c r="B29" s="4" t="str">
        <f>"431720220806112901231659"</f>
        <v>431720220806112901231659</v>
      </c>
      <c r="C29" s="5" t="s">
        <v>6</v>
      </c>
      <c r="D29" s="4" t="str">
        <f>"李雅倩"</f>
        <v>李雅倩</v>
      </c>
      <c r="E29" s="4" t="str">
        <f t="shared" si="1"/>
        <v>女</v>
      </c>
    </row>
    <row r="30" customHeight="1" spans="1:5">
      <c r="A30" s="4">
        <v>28</v>
      </c>
      <c r="B30" s="4" t="str">
        <f>"431720220806113003231664"</f>
        <v>431720220806113003231664</v>
      </c>
      <c r="C30" s="5" t="s">
        <v>6</v>
      </c>
      <c r="D30" s="4" t="str">
        <f>"陈莉金"</f>
        <v>陈莉金</v>
      </c>
      <c r="E30" s="4" t="str">
        <f t="shared" si="1"/>
        <v>女</v>
      </c>
    </row>
    <row r="31" customHeight="1" spans="1:5">
      <c r="A31" s="4">
        <v>29</v>
      </c>
      <c r="B31" s="4" t="str">
        <f>"431720220806113014231665"</f>
        <v>431720220806113014231665</v>
      </c>
      <c r="C31" s="5" t="s">
        <v>6</v>
      </c>
      <c r="D31" s="4" t="str">
        <f>"吴晓霞"</f>
        <v>吴晓霞</v>
      </c>
      <c r="E31" s="4" t="str">
        <f t="shared" si="1"/>
        <v>女</v>
      </c>
    </row>
    <row r="32" customHeight="1" spans="1:5">
      <c r="A32" s="4">
        <v>30</v>
      </c>
      <c r="B32" s="4" t="str">
        <f>"431720220806113248231675"</f>
        <v>431720220806113248231675</v>
      </c>
      <c r="C32" s="5" t="s">
        <v>6</v>
      </c>
      <c r="D32" s="4" t="str">
        <f>"符雯婧"</f>
        <v>符雯婧</v>
      </c>
      <c r="E32" s="4" t="str">
        <f t="shared" si="1"/>
        <v>女</v>
      </c>
    </row>
    <row r="33" customHeight="1" spans="1:5">
      <c r="A33" s="4">
        <v>31</v>
      </c>
      <c r="B33" s="4" t="str">
        <f>"431720220806113307231676"</f>
        <v>431720220806113307231676</v>
      </c>
      <c r="C33" s="5" t="s">
        <v>6</v>
      </c>
      <c r="D33" s="4" t="str">
        <f>"陈裕娴"</f>
        <v>陈裕娴</v>
      </c>
      <c r="E33" s="4" t="str">
        <f t="shared" si="1"/>
        <v>女</v>
      </c>
    </row>
    <row r="34" customHeight="1" spans="1:5">
      <c r="A34" s="4">
        <v>32</v>
      </c>
      <c r="B34" s="4" t="str">
        <f>"431720220806113531231682"</f>
        <v>431720220806113531231682</v>
      </c>
      <c r="C34" s="5" t="s">
        <v>6</v>
      </c>
      <c r="D34" s="4" t="str">
        <f>"刘凡"</f>
        <v>刘凡</v>
      </c>
      <c r="E34" s="4" t="str">
        <f t="shared" si="1"/>
        <v>女</v>
      </c>
    </row>
    <row r="35" customHeight="1" spans="1:5">
      <c r="A35" s="4">
        <v>33</v>
      </c>
      <c r="B35" s="4" t="str">
        <f>"431720220806113540231683"</f>
        <v>431720220806113540231683</v>
      </c>
      <c r="C35" s="5" t="s">
        <v>6</v>
      </c>
      <c r="D35" s="4" t="str">
        <f>"苏秋同"</f>
        <v>苏秋同</v>
      </c>
      <c r="E35" s="4" t="str">
        <f t="shared" si="1"/>
        <v>女</v>
      </c>
    </row>
    <row r="36" customHeight="1" spans="1:5">
      <c r="A36" s="4">
        <v>34</v>
      </c>
      <c r="B36" s="4" t="str">
        <f>"431720220806114347231703"</f>
        <v>431720220806114347231703</v>
      </c>
      <c r="C36" s="5" t="s">
        <v>6</v>
      </c>
      <c r="D36" s="4" t="str">
        <f>"张曼"</f>
        <v>张曼</v>
      </c>
      <c r="E36" s="4" t="str">
        <f t="shared" si="1"/>
        <v>女</v>
      </c>
    </row>
    <row r="37" customHeight="1" spans="1:5">
      <c r="A37" s="4">
        <v>35</v>
      </c>
      <c r="B37" s="4" t="str">
        <f>"431720220806114349231704"</f>
        <v>431720220806114349231704</v>
      </c>
      <c r="C37" s="5" t="s">
        <v>6</v>
      </c>
      <c r="D37" s="4" t="str">
        <f>"吴璐璐"</f>
        <v>吴璐璐</v>
      </c>
      <c r="E37" s="4" t="str">
        <f t="shared" si="1"/>
        <v>女</v>
      </c>
    </row>
    <row r="38" customHeight="1" spans="1:5">
      <c r="A38" s="4">
        <v>36</v>
      </c>
      <c r="B38" s="4" t="str">
        <f>"431720220806114411231705"</f>
        <v>431720220806114411231705</v>
      </c>
      <c r="C38" s="5" t="s">
        <v>6</v>
      </c>
      <c r="D38" s="4" t="str">
        <f>"杜春慢"</f>
        <v>杜春慢</v>
      </c>
      <c r="E38" s="4" t="str">
        <f t="shared" si="1"/>
        <v>女</v>
      </c>
    </row>
    <row r="39" customHeight="1" spans="1:5">
      <c r="A39" s="4">
        <v>37</v>
      </c>
      <c r="B39" s="4" t="str">
        <f>"431720220806115407231739"</f>
        <v>431720220806115407231739</v>
      </c>
      <c r="C39" s="5" t="s">
        <v>6</v>
      </c>
      <c r="D39" s="4" t="str">
        <f>"唐宁"</f>
        <v>唐宁</v>
      </c>
      <c r="E39" s="4" t="str">
        <f t="shared" si="1"/>
        <v>女</v>
      </c>
    </row>
    <row r="40" customHeight="1" spans="1:5">
      <c r="A40" s="4">
        <v>38</v>
      </c>
      <c r="B40" s="4" t="str">
        <f>"431720220806115803231747"</f>
        <v>431720220806115803231747</v>
      </c>
      <c r="C40" s="5" t="s">
        <v>6</v>
      </c>
      <c r="D40" s="4" t="str">
        <f>"冯金英"</f>
        <v>冯金英</v>
      </c>
      <c r="E40" s="4" t="str">
        <f t="shared" si="1"/>
        <v>女</v>
      </c>
    </row>
    <row r="41" customHeight="1" spans="1:5">
      <c r="A41" s="4">
        <v>39</v>
      </c>
      <c r="B41" s="4" t="str">
        <f>"431720220806115848231750"</f>
        <v>431720220806115848231750</v>
      </c>
      <c r="C41" s="5" t="s">
        <v>6</v>
      </c>
      <c r="D41" s="4" t="str">
        <f>"胡颖"</f>
        <v>胡颖</v>
      </c>
      <c r="E41" s="4" t="str">
        <f t="shared" si="1"/>
        <v>女</v>
      </c>
    </row>
    <row r="42" customHeight="1" spans="1:5">
      <c r="A42" s="4">
        <v>40</v>
      </c>
      <c r="B42" s="4" t="str">
        <f>"431720220806120320231764"</f>
        <v>431720220806120320231764</v>
      </c>
      <c r="C42" s="5" t="s">
        <v>6</v>
      </c>
      <c r="D42" s="4" t="str">
        <f>"符彩丽"</f>
        <v>符彩丽</v>
      </c>
      <c r="E42" s="4" t="str">
        <f t="shared" si="1"/>
        <v>女</v>
      </c>
    </row>
    <row r="43" customHeight="1" spans="1:5">
      <c r="A43" s="4">
        <v>41</v>
      </c>
      <c r="B43" s="4" t="str">
        <f>"431720220806120348231765"</f>
        <v>431720220806120348231765</v>
      </c>
      <c r="C43" s="5" t="s">
        <v>6</v>
      </c>
      <c r="D43" s="4" t="str">
        <f>"沈秀银"</f>
        <v>沈秀银</v>
      </c>
      <c r="E43" s="4" t="str">
        <f t="shared" si="1"/>
        <v>女</v>
      </c>
    </row>
    <row r="44" customHeight="1" spans="1:5">
      <c r="A44" s="4">
        <v>42</v>
      </c>
      <c r="B44" s="4" t="str">
        <f>"431720220806120426231767"</f>
        <v>431720220806120426231767</v>
      </c>
      <c r="C44" s="5" t="s">
        <v>6</v>
      </c>
      <c r="D44" s="4" t="str">
        <f>"许小环"</f>
        <v>许小环</v>
      </c>
      <c r="E44" s="4" t="str">
        <f t="shared" si="1"/>
        <v>女</v>
      </c>
    </row>
    <row r="45" customHeight="1" spans="1:5">
      <c r="A45" s="4">
        <v>43</v>
      </c>
      <c r="B45" s="4" t="str">
        <f>"431720220806120907231777"</f>
        <v>431720220806120907231777</v>
      </c>
      <c r="C45" s="5" t="s">
        <v>6</v>
      </c>
      <c r="D45" s="4" t="str">
        <f>"刘妍"</f>
        <v>刘妍</v>
      </c>
      <c r="E45" s="4" t="str">
        <f t="shared" si="1"/>
        <v>女</v>
      </c>
    </row>
    <row r="46" customHeight="1" spans="1:5">
      <c r="A46" s="4">
        <v>44</v>
      </c>
      <c r="B46" s="4" t="str">
        <f>"431720220806121902231799"</f>
        <v>431720220806121902231799</v>
      </c>
      <c r="C46" s="5" t="s">
        <v>6</v>
      </c>
      <c r="D46" s="4" t="str">
        <f>"吴海军"</f>
        <v>吴海军</v>
      </c>
      <c r="E46" s="4" t="str">
        <f>"男"</f>
        <v>男</v>
      </c>
    </row>
    <row r="47" customHeight="1" spans="1:5">
      <c r="A47" s="4">
        <v>45</v>
      </c>
      <c r="B47" s="4" t="str">
        <f>"431720220806122651231822"</f>
        <v>431720220806122651231822</v>
      </c>
      <c r="C47" s="5" t="s">
        <v>6</v>
      </c>
      <c r="D47" s="4" t="str">
        <f>"符秀梅"</f>
        <v>符秀梅</v>
      </c>
      <c r="E47" s="4" t="str">
        <f t="shared" ref="E47:E55" si="2">"女"</f>
        <v>女</v>
      </c>
    </row>
    <row r="48" customHeight="1" spans="1:5">
      <c r="A48" s="4">
        <v>46</v>
      </c>
      <c r="B48" s="4" t="str">
        <f>"431720220806122800231826"</f>
        <v>431720220806122800231826</v>
      </c>
      <c r="C48" s="5" t="s">
        <v>6</v>
      </c>
      <c r="D48" s="4" t="str">
        <f>"羊思思"</f>
        <v>羊思思</v>
      </c>
      <c r="E48" s="4" t="str">
        <f t="shared" si="2"/>
        <v>女</v>
      </c>
    </row>
    <row r="49" customHeight="1" spans="1:5">
      <c r="A49" s="4">
        <v>47</v>
      </c>
      <c r="B49" s="4" t="str">
        <f>"431720220806124643231880"</f>
        <v>431720220806124643231880</v>
      </c>
      <c r="C49" s="5" t="s">
        <v>6</v>
      </c>
      <c r="D49" s="4" t="str">
        <f>"潘容"</f>
        <v>潘容</v>
      </c>
      <c r="E49" s="4" t="str">
        <f t="shared" si="2"/>
        <v>女</v>
      </c>
    </row>
    <row r="50" customHeight="1" spans="1:5">
      <c r="A50" s="4">
        <v>48</v>
      </c>
      <c r="B50" s="4" t="str">
        <f>"431720220806124647231881"</f>
        <v>431720220806124647231881</v>
      </c>
      <c r="C50" s="5" t="s">
        <v>6</v>
      </c>
      <c r="D50" s="4" t="str">
        <f>"符碧玉"</f>
        <v>符碧玉</v>
      </c>
      <c r="E50" s="4" t="str">
        <f t="shared" si="2"/>
        <v>女</v>
      </c>
    </row>
    <row r="51" customHeight="1" spans="1:5">
      <c r="A51" s="4">
        <v>49</v>
      </c>
      <c r="B51" s="4" t="str">
        <f>"431720220806125741231910"</f>
        <v>431720220806125741231910</v>
      </c>
      <c r="C51" s="5" t="s">
        <v>6</v>
      </c>
      <c r="D51" s="4" t="str">
        <f>"吴清爽"</f>
        <v>吴清爽</v>
      </c>
      <c r="E51" s="4" t="str">
        <f t="shared" si="2"/>
        <v>女</v>
      </c>
    </row>
    <row r="52" customHeight="1" spans="1:5">
      <c r="A52" s="4">
        <v>50</v>
      </c>
      <c r="B52" s="4" t="str">
        <f>"431720220806125808231911"</f>
        <v>431720220806125808231911</v>
      </c>
      <c r="C52" s="5" t="s">
        <v>6</v>
      </c>
      <c r="D52" s="4" t="str">
        <f>"林小娜"</f>
        <v>林小娜</v>
      </c>
      <c r="E52" s="4" t="str">
        <f t="shared" si="2"/>
        <v>女</v>
      </c>
    </row>
    <row r="53" customHeight="1" spans="1:5">
      <c r="A53" s="4">
        <v>51</v>
      </c>
      <c r="B53" s="4" t="str">
        <f>"431720220806125839231916"</f>
        <v>431720220806125839231916</v>
      </c>
      <c r="C53" s="5" t="s">
        <v>6</v>
      </c>
      <c r="D53" s="4" t="str">
        <f>"郑丹女"</f>
        <v>郑丹女</v>
      </c>
      <c r="E53" s="4" t="str">
        <f t="shared" si="2"/>
        <v>女</v>
      </c>
    </row>
    <row r="54" customHeight="1" spans="1:5">
      <c r="A54" s="4">
        <v>52</v>
      </c>
      <c r="B54" s="4" t="str">
        <f>"431720220806130225231925"</f>
        <v>431720220806130225231925</v>
      </c>
      <c r="C54" s="5" t="s">
        <v>6</v>
      </c>
      <c r="D54" s="4" t="str">
        <f>"方琼粒"</f>
        <v>方琼粒</v>
      </c>
      <c r="E54" s="4" t="str">
        <f t="shared" si="2"/>
        <v>女</v>
      </c>
    </row>
    <row r="55" customHeight="1" spans="1:5">
      <c r="A55" s="4">
        <v>53</v>
      </c>
      <c r="B55" s="4" t="str">
        <f>"431720220806131447231958"</f>
        <v>431720220806131447231958</v>
      </c>
      <c r="C55" s="5" t="s">
        <v>6</v>
      </c>
      <c r="D55" s="4" t="str">
        <f>"朱宇雲"</f>
        <v>朱宇雲</v>
      </c>
      <c r="E55" s="4" t="str">
        <f t="shared" si="2"/>
        <v>女</v>
      </c>
    </row>
    <row r="56" customHeight="1" spans="1:5">
      <c r="A56" s="4">
        <v>54</v>
      </c>
      <c r="B56" s="4" t="str">
        <f>"431720220806133333232007"</f>
        <v>431720220806133333232007</v>
      </c>
      <c r="C56" s="5" t="s">
        <v>6</v>
      </c>
      <c r="D56" s="4" t="str">
        <f>"方海涛"</f>
        <v>方海涛</v>
      </c>
      <c r="E56" s="4" t="str">
        <f>"男"</f>
        <v>男</v>
      </c>
    </row>
    <row r="57" customHeight="1" spans="1:5">
      <c r="A57" s="4">
        <v>55</v>
      </c>
      <c r="B57" s="4" t="str">
        <f>"431720220806134051232019"</f>
        <v>431720220806134051232019</v>
      </c>
      <c r="C57" s="5" t="s">
        <v>6</v>
      </c>
      <c r="D57" s="4" t="str">
        <f>"王芷仙"</f>
        <v>王芷仙</v>
      </c>
      <c r="E57" s="4" t="str">
        <f t="shared" ref="E57:E64" si="3">"女"</f>
        <v>女</v>
      </c>
    </row>
    <row r="58" customHeight="1" spans="1:5">
      <c r="A58" s="4">
        <v>56</v>
      </c>
      <c r="B58" s="4" t="str">
        <f>"431720220806134058232020"</f>
        <v>431720220806134058232020</v>
      </c>
      <c r="C58" s="5" t="s">
        <v>6</v>
      </c>
      <c r="D58" s="4" t="str">
        <f>"梁小茜"</f>
        <v>梁小茜</v>
      </c>
      <c r="E58" s="4" t="str">
        <f t="shared" si="3"/>
        <v>女</v>
      </c>
    </row>
    <row r="59" customHeight="1" spans="1:5">
      <c r="A59" s="4">
        <v>57</v>
      </c>
      <c r="B59" s="4" t="str">
        <f>"431720220806134554232031"</f>
        <v>431720220806134554232031</v>
      </c>
      <c r="C59" s="5" t="s">
        <v>6</v>
      </c>
      <c r="D59" s="4" t="str">
        <f>"陈春韵"</f>
        <v>陈春韵</v>
      </c>
      <c r="E59" s="4" t="str">
        <f t="shared" si="3"/>
        <v>女</v>
      </c>
    </row>
    <row r="60" customHeight="1" spans="1:5">
      <c r="A60" s="4">
        <v>58</v>
      </c>
      <c r="B60" s="4" t="str">
        <f>"431720220806134556232032"</f>
        <v>431720220806134556232032</v>
      </c>
      <c r="C60" s="5" t="s">
        <v>6</v>
      </c>
      <c r="D60" s="4" t="str">
        <f>"杨秋燕"</f>
        <v>杨秋燕</v>
      </c>
      <c r="E60" s="4" t="str">
        <f t="shared" si="3"/>
        <v>女</v>
      </c>
    </row>
    <row r="61" customHeight="1" spans="1:5">
      <c r="A61" s="4">
        <v>59</v>
      </c>
      <c r="B61" s="4" t="str">
        <f>"431720220806134749232035"</f>
        <v>431720220806134749232035</v>
      </c>
      <c r="C61" s="5" t="s">
        <v>6</v>
      </c>
      <c r="D61" s="4" t="str">
        <f>"谢心怡"</f>
        <v>谢心怡</v>
      </c>
      <c r="E61" s="4" t="str">
        <f t="shared" si="3"/>
        <v>女</v>
      </c>
    </row>
    <row r="62" customHeight="1" spans="1:5">
      <c r="A62" s="4">
        <v>60</v>
      </c>
      <c r="B62" s="4" t="str">
        <f>"431720220806134826232036"</f>
        <v>431720220806134826232036</v>
      </c>
      <c r="C62" s="5" t="s">
        <v>6</v>
      </c>
      <c r="D62" s="4" t="str">
        <f>"林珏谷"</f>
        <v>林珏谷</v>
      </c>
      <c r="E62" s="4" t="str">
        <f t="shared" si="3"/>
        <v>女</v>
      </c>
    </row>
    <row r="63" customHeight="1" spans="1:5">
      <c r="A63" s="4">
        <v>61</v>
      </c>
      <c r="B63" s="4" t="str">
        <f>"431720220806135447232054"</f>
        <v>431720220806135447232054</v>
      </c>
      <c r="C63" s="5" t="s">
        <v>6</v>
      </c>
      <c r="D63" s="4" t="str">
        <f>"吴丽"</f>
        <v>吴丽</v>
      </c>
      <c r="E63" s="4" t="str">
        <f t="shared" si="3"/>
        <v>女</v>
      </c>
    </row>
    <row r="64" customHeight="1" spans="1:5">
      <c r="A64" s="4">
        <v>62</v>
      </c>
      <c r="B64" s="4" t="str">
        <f>"431720220806135526232055"</f>
        <v>431720220806135526232055</v>
      </c>
      <c r="C64" s="5" t="s">
        <v>6</v>
      </c>
      <c r="D64" s="4" t="str">
        <f>"陆显任"</f>
        <v>陆显任</v>
      </c>
      <c r="E64" s="4" t="str">
        <f t="shared" si="3"/>
        <v>女</v>
      </c>
    </row>
    <row r="65" customHeight="1" spans="1:5">
      <c r="A65" s="4">
        <v>63</v>
      </c>
      <c r="B65" s="4" t="str">
        <f>"431720220806140426232071"</f>
        <v>431720220806140426232071</v>
      </c>
      <c r="C65" s="5" t="s">
        <v>6</v>
      </c>
      <c r="D65" s="4" t="str">
        <f>"李柏林"</f>
        <v>李柏林</v>
      </c>
      <c r="E65" s="4" t="str">
        <f>"男"</f>
        <v>男</v>
      </c>
    </row>
    <row r="66" customHeight="1" spans="1:5">
      <c r="A66" s="4">
        <v>64</v>
      </c>
      <c r="B66" s="4" t="str">
        <f>"431720220806141042232089"</f>
        <v>431720220806141042232089</v>
      </c>
      <c r="C66" s="5" t="s">
        <v>6</v>
      </c>
      <c r="D66" s="4" t="str">
        <f>"蔡南南"</f>
        <v>蔡南南</v>
      </c>
      <c r="E66" s="4" t="str">
        <f t="shared" ref="E66:E102" si="4">"女"</f>
        <v>女</v>
      </c>
    </row>
    <row r="67" customHeight="1" spans="1:5">
      <c r="A67" s="4">
        <v>65</v>
      </c>
      <c r="B67" s="4" t="str">
        <f>"431720220806141255232092"</f>
        <v>431720220806141255232092</v>
      </c>
      <c r="C67" s="5" t="s">
        <v>6</v>
      </c>
      <c r="D67" s="4" t="str">
        <f>"卓小倩"</f>
        <v>卓小倩</v>
      </c>
      <c r="E67" s="4" t="str">
        <f t="shared" si="4"/>
        <v>女</v>
      </c>
    </row>
    <row r="68" customHeight="1" spans="1:5">
      <c r="A68" s="4">
        <v>66</v>
      </c>
      <c r="B68" s="4" t="str">
        <f>"431720220806141750232099"</f>
        <v>431720220806141750232099</v>
      </c>
      <c r="C68" s="5" t="s">
        <v>6</v>
      </c>
      <c r="D68" s="4" t="str">
        <f>"黄杨椀"</f>
        <v>黄杨椀</v>
      </c>
      <c r="E68" s="4" t="str">
        <f t="shared" si="4"/>
        <v>女</v>
      </c>
    </row>
    <row r="69" customHeight="1" spans="1:5">
      <c r="A69" s="4">
        <v>67</v>
      </c>
      <c r="B69" s="4" t="str">
        <f>"431720220806141811232100"</f>
        <v>431720220806141811232100</v>
      </c>
      <c r="C69" s="5" t="s">
        <v>6</v>
      </c>
      <c r="D69" s="4" t="str">
        <f>"吴新芬"</f>
        <v>吴新芬</v>
      </c>
      <c r="E69" s="4" t="str">
        <f t="shared" si="4"/>
        <v>女</v>
      </c>
    </row>
    <row r="70" customHeight="1" spans="1:5">
      <c r="A70" s="4">
        <v>68</v>
      </c>
      <c r="B70" s="4" t="str">
        <f>"431720220806142517232110"</f>
        <v>431720220806142517232110</v>
      </c>
      <c r="C70" s="5" t="s">
        <v>6</v>
      </c>
      <c r="D70" s="4" t="str">
        <f>"符方梅"</f>
        <v>符方梅</v>
      </c>
      <c r="E70" s="4" t="str">
        <f t="shared" si="4"/>
        <v>女</v>
      </c>
    </row>
    <row r="71" customHeight="1" spans="1:5">
      <c r="A71" s="4">
        <v>69</v>
      </c>
      <c r="B71" s="4" t="str">
        <f>"431720220806145545232173"</f>
        <v>431720220806145545232173</v>
      </c>
      <c r="C71" s="5" t="s">
        <v>6</v>
      </c>
      <c r="D71" s="4" t="str">
        <f>"罗倩莹"</f>
        <v>罗倩莹</v>
      </c>
      <c r="E71" s="4" t="str">
        <f t="shared" si="4"/>
        <v>女</v>
      </c>
    </row>
    <row r="72" customHeight="1" spans="1:5">
      <c r="A72" s="4">
        <v>70</v>
      </c>
      <c r="B72" s="4" t="str">
        <f>"431720220806145833232177"</f>
        <v>431720220806145833232177</v>
      </c>
      <c r="C72" s="5" t="s">
        <v>6</v>
      </c>
      <c r="D72" s="4" t="str">
        <f>"刘昶"</f>
        <v>刘昶</v>
      </c>
      <c r="E72" s="4" t="str">
        <f t="shared" si="4"/>
        <v>女</v>
      </c>
    </row>
    <row r="73" customHeight="1" spans="1:5">
      <c r="A73" s="4">
        <v>71</v>
      </c>
      <c r="B73" s="4" t="str">
        <f>"431720220806150252232183"</f>
        <v>431720220806150252232183</v>
      </c>
      <c r="C73" s="5" t="s">
        <v>6</v>
      </c>
      <c r="D73" s="4" t="str">
        <f>"钟紫锌"</f>
        <v>钟紫锌</v>
      </c>
      <c r="E73" s="4" t="str">
        <f t="shared" si="4"/>
        <v>女</v>
      </c>
    </row>
    <row r="74" customHeight="1" spans="1:5">
      <c r="A74" s="4">
        <v>72</v>
      </c>
      <c r="B74" s="4" t="str">
        <f>"431720220806151559232209"</f>
        <v>431720220806151559232209</v>
      </c>
      <c r="C74" s="5" t="s">
        <v>6</v>
      </c>
      <c r="D74" s="4" t="str">
        <f>"吴菊妍"</f>
        <v>吴菊妍</v>
      </c>
      <c r="E74" s="4" t="str">
        <f t="shared" si="4"/>
        <v>女</v>
      </c>
    </row>
    <row r="75" customHeight="1" spans="1:5">
      <c r="A75" s="4">
        <v>73</v>
      </c>
      <c r="B75" s="4" t="str">
        <f>"431720220806152636232232"</f>
        <v>431720220806152636232232</v>
      </c>
      <c r="C75" s="5" t="s">
        <v>6</v>
      </c>
      <c r="D75" s="4" t="str">
        <f>"李小琴"</f>
        <v>李小琴</v>
      </c>
      <c r="E75" s="4" t="str">
        <f t="shared" si="4"/>
        <v>女</v>
      </c>
    </row>
    <row r="76" customHeight="1" spans="1:5">
      <c r="A76" s="4">
        <v>74</v>
      </c>
      <c r="B76" s="4" t="str">
        <f>"431720220806154503232268"</f>
        <v>431720220806154503232268</v>
      </c>
      <c r="C76" s="5" t="s">
        <v>6</v>
      </c>
      <c r="D76" s="4" t="str">
        <f>"陈木梨"</f>
        <v>陈木梨</v>
      </c>
      <c r="E76" s="4" t="str">
        <f t="shared" si="4"/>
        <v>女</v>
      </c>
    </row>
    <row r="77" customHeight="1" spans="1:5">
      <c r="A77" s="4">
        <v>75</v>
      </c>
      <c r="B77" s="4" t="str">
        <f>"431720220806154650232273"</f>
        <v>431720220806154650232273</v>
      </c>
      <c r="C77" s="5" t="s">
        <v>6</v>
      </c>
      <c r="D77" s="4" t="str">
        <f>"王小慧"</f>
        <v>王小慧</v>
      </c>
      <c r="E77" s="4" t="str">
        <f t="shared" si="4"/>
        <v>女</v>
      </c>
    </row>
    <row r="78" customHeight="1" spans="1:5">
      <c r="A78" s="4">
        <v>76</v>
      </c>
      <c r="B78" s="4" t="str">
        <f>"431720220806154759232277"</f>
        <v>431720220806154759232277</v>
      </c>
      <c r="C78" s="5" t="s">
        <v>6</v>
      </c>
      <c r="D78" s="4" t="str">
        <f>"陈婉莹"</f>
        <v>陈婉莹</v>
      </c>
      <c r="E78" s="4" t="str">
        <f t="shared" si="4"/>
        <v>女</v>
      </c>
    </row>
    <row r="79" customHeight="1" spans="1:5">
      <c r="A79" s="4">
        <v>77</v>
      </c>
      <c r="B79" s="4" t="str">
        <f>"431720220806155318232284"</f>
        <v>431720220806155318232284</v>
      </c>
      <c r="C79" s="5" t="s">
        <v>6</v>
      </c>
      <c r="D79" s="4" t="str">
        <f>"林丽霞"</f>
        <v>林丽霞</v>
      </c>
      <c r="E79" s="4" t="str">
        <f t="shared" si="4"/>
        <v>女</v>
      </c>
    </row>
    <row r="80" customHeight="1" spans="1:5">
      <c r="A80" s="4">
        <v>78</v>
      </c>
      <c r="B80" s="4" t="str">
        <f>"431720220806162143232344"</f>
        <v>431720220806162143232344</v>
      </c>
      <c r="C80" s="5" t="s">
        <v>6</v>
      </c>
      <c r="D80" s="4" t="str">
        <f>"麦淑珍"</f>
        <v>麦淑珍</v>
      </c>
      <c r="E80" s="4" t="str">
        <f t="shared" si="4"/>
        <v>女</v>
      </c>
    </row>
    <row r="81" customHeight="1" spans="1:5">
      <c r="A81" s="4">
        <v>79</v>
      </c>
      <c r="B81" s="4" t="str">
        <f>"431720220806162205232346"</f>
        <v>431720220806162205232346</v>
      </c>
      <c r="C81" s="5" t="s">
        <v>6</v>
      </c>
      <c r="D81" s="4" t="str">
        <f>"罗琼华"</f>
        <v>罗琼华</v>
      </c>
      <c r="E81" s="4" t="str">
        <f t="shared" si="4"/>
        <v>女</v>
      </c>
    </row>
    <row r="82" customHeight="1" spans="1:5">
      <c r="A82" s="4">
        <v>80</v>
      </c>
      <c r="B82" s="4" t="str">
        <f>"431720220806162836232363"</f>
        <v>431720220806162836232363</v>
      </c>
      <c r="C82" s="5" t="s">
        <v>6</v>
      </c>
      <c r="D82" s="4" t="str">
        <f>"陈梅平"</f>
        <v>陈梅平</v>
      </c>
      <c r="E82" s="4" t="str">
        <f t="shared" si="4"/>
        <v>女</v>
      </c>
    </row>
    <row r="83" customHeight="1" spans="1:5">
      <c r="A83" s="4">
        <v>81</v>
      </c>
      <c r="B83" s="4" t="str">
        <f>"431720220806163225232373"</f>
        <v>431720220806163225232373</v>
      </c>
      <c r="C83" s="5" t="s">
        <v>6</v>
      </c>
      <c r="D83" s="4" t="str">
        <f>"劳妹玉"</f>
        <v>劳妹玉</v>
      </c>
      <c r="E83" s="4" t="str">
        <f t="shared" si="4"/>
        <v>女</v>
      </c>
    </row>
    <row r="84" customHeight="1" spans="1:5">
      <c r="A84" s="4">
        <v>82</v>
      </c>
      <c r="B84" s="4" t="str">
        <f>"431720220806164034232391"</f>
        <v>431720220806164034232391</v>
      </c>
      <c r="C84" s="5" t="s">
        <v>6</v>
      </c>
      <c r="D84" s="4" t="str">
        <f>"蓝晶晶"</f>
        <v>蓝晶晶</v>
      </c>
      <c r="E84" s="4" t="str">
        <f t="shared" si="4"/>
        <v>女</v>
      </c>
    </row>
    <row r="85" customHeight="1" spans="1:5">
      <c r="A85" s="4">
        <v>83</v>
      </c>
      <c r="B85" s="4" t="str">
        <f>"431720220806164314232399"</f>
        <v>431720220806164314232399</v>
      </c>
      <c r="C85" s="5" t="s">
        <v>6</v>
      </c>
      <c r="D85" s="4" t="str">
        <f>"陈瑜"</f>
        <v>陈瑜</v>
      </c>
      <c r="E85" s="4" t="str">
        <f t="shared" si="4"/>
        <v>女</v>
      </c>
    </row>
    <row r="86" customHeight="1" spans="1:5">
      <c r="A86" s="4">
        <v>84</v>
      </c>
      <c r="B86" s="4" t="str">
        <f>"431720220806164929232407"</f>
        <v>431720220806164929232407</v>
      </c>
      <c r="C86" s="5" t="s">
        <v>6</v>
      </c>
      <c r="D86" s="4" t="str">
        <f>"符辉玉"</f>
        <v>符辉玉</v>
      </c>
      <c r="E86" s="4" t="str">
        <f t="shared" si="4"/>
        <v>女</v>
      </c>
    </row>
    <row r="87" customHeight="1" spans="1:5">
      <c r="A87" s="4">
        <v>85</v>
      </c>
      <c r="B87" s="4" t="str">
        <f>"431720220806165048232408"</f>
        <v>431720220806165048232408</v>
      </c>
      <c r="C87" s="5" t="s">
        <v>6</v>
      </c>
      <c r="D87" s="4" t="str">
        <f>"李佳佳"</f>
        <v>李佳佳</v>
      </c>
      <c r="E87" s="4" t="str">
        <f t="shared" si="4"/>
        <v>女</v>
      </c>
    </row>
    <row r="88" customHeight="1" spans="1:5">
      <c r="A88" s="4">
        <v>86</v>
      </c>
      <c r="B88" s="4" t="str">
        <f>"431720220806170554232433"</f>
        <v>431720220806170554232433</v>
      </c>
      <c r="C88" s="5" t="s">
        <v>6</v>
      </c>
      <c r="D88" s="4" t="str">
        <f>"林叶玉"</f>
        <v>林叶玉</v>
      </c>
      <c r="E88" s="4" t="str">
        <f t="shared" si="4"/>
        <v>女</v>
      </c>
    </row>
    <row r="89" customHeight="1" spans="1:5">
      <c r="A89" s="4">
        <v>87</v>
      </c>
      <c r="B89" s="4" t="str">
        <f>"431720220806171458232451"</f>
        <v>431720220806171458232451</v>
      </c>
      <c r="C89" s="5" t="s">
        <v>6</v>
      </c>
      <c r="D89" s="4" t="str">
        <f>"陈妹莹"</f>
        <v>陈妹莹</v>
      </c>
      <c r="E89" s="4" t="str">
        <f t="shared" si="4"/>
        <v>女</v>
      </c>
    </row>
    <row r="90" customHeight="1" spans="1:5">
      <c r="A90" s="4">
        <v>88</v>
      </c>
      <c r="B90" s="4" t="str">
        <f>"431720220806172003232460"</f>
        <v>431720220806172003232460</v>
      </c>
      <c r="C90" s="5" t="s">
        <v>6</v>
      </c>
      <c r="D90" s="4" t="str">
        <f>"符蓉"</f>
        <v>符蓉</v>
      </c>
      <c r="E90" s="4" t="str">
        <f t="shared" si="4"/>
        <v>女</v>
      </c>
    </row>
    <row r="91" customHeight="1" spans="1:5">
      <c r="A91" s="4">
        <v>89</v>
      </c>
      <c r="B91" s="4" t="str">
        <f>"431720220806173747232494"</f>
        <v>431720220806173747232494</v>
      </c>
      <c r="C91" s="5" t="s">
        <v>6</v>
      </c>
      <c r="D91" s="4" t="str">
        <f>"马静"</f>
        <v>马静</v>
      </c>
      <c r="E91" s="4" t="str">
        <f t="shared" si="4"/>
        <v>女</v>
      </c>
    </row>
    <row r="92" customHeight="1" spans="1:5">
      <c r="A92" s="4">
        <v>90</v>
      </c>
      <c r="B92" s="4" t="str">
        <f>"431720220806175404232519"</f>
        <v>431720220806175404232519</v>
      </c>
      <c r="C92" s="5" t="s">
        <v>6</v>
      </c>
      <c r="D92" s="4" t="str">
        <f>"苏海媚"</f>
        <v>苏海媚</v>
      </c>
      <c r="E92" s="4" t="str">
        <f t="shared" si="4"/>
        <v>女</v>
      </c>
    </row>
    <row r="93" customHeight="1" spans="1:5">
      <c r="A93" s="4">
        <v>91</v>
      </c>
      <c r="B93" s="4" t="str">
        <f>"431720220806175616232525"</f>
        <v>431720220806175616232525</v>
      </c>
      <c r="C93" s="5" t="s">
        <v>6</v>
      </c>
      <c r="D93" s="4" t="str">
        <f>"周彬彬"</f>
        <v>周彬彬</v>
      </c>
      <c r="E93" s="4" t="str">
        <f t="shared" si="4"/>
        <v>女</v>
      </c>
    </row>
    <row r="94" customHeight="1" spans="1:5">
      <c r="A94" s="4">
        <v>92</v>
      </c>
      <c r="B94" s="4" t="str">
        <f>"431720220806182831232559"</f>
        <v>431720220806182831232559</v>
      </c>
      <c r="C94" s="5" t="s">
        <v>6</v>
      </c>
      <c r="D94" s="4" t="str">
        <f>"林翔"</f>
        <v>林翔</v>
      </c>
      <c r="E94" s="4" t="str">
        <f t="shared" si="4"/>
        <v>女</v>
      </c>
    </row>
    <row r="95" customHeight="1" spans="1:5">
      <c r="A95" s="4">
        <v>93</v>
      </c>
      <c r="B95" s="4" t="str">
        <f>"431720220806183119232562"</f>
        <v>431720220806183119232562</v>
      </c>
      <c r="C95" s="5" t="s">
        <v>6</v>
      </c>
      <c r="D95" s="4" t="str">
        <f>"韩永喜"</f>
        <v>韩永喜</v>
      </c>
      <c r="E95" s="4" t="str">
        <f t="shared" si="4"/>
        <v>女</v>
      </c>
    </row>
    <row r="96" customHeight="1" spans="1:5">
      <c r="A96" s="4">
        <v>94</v>
      </c>
      <c r="B96" s="4" t="str">
        <f>"431720220806183120232563"</f>
        <v>431720220806183120232563</v>
      </c>
      <c r="C96" s="5" t="s">
        <v>6</v>
      </c>
      <c r="D96" s="4" t="str">
        <f>"吴莲花"</f>
        <v>吴莲花</v>
      </c>
      <c r="E96" s="4" t="str">
        <f t="shared" si="4"/>
        <v>女</v>
      </c>
    </row>
    <row r="97" customHeight="1" spans="1:5">
      <c r="A97" s="4">
        <v>95</v>
      </c>
      <c r="B97" s="4" t="str">
        <f>"431720220806183703232566"</f>
        <v>431720220806183703232566</v>
      </c>
      <c r="C97" s="5" t="s">
        <v>6</v>
      </c>
      <c r="D97" s="4" t="str">
        <f>"林丽莎"</f>
        <v>林丽莎</v>
      </c>
      <c r="E97" s="4" t="str">
        <f t="shared" si="4"/>
        <v>女</v>
      </c>
    </row>
    <row r="98" customHeight="1" spans="1:5">
      <c r="A98" s="4">
        <v>96</v>
      </c>
      <c r="B98" s="4" t="str">
        <f>"431720220806184317232570"</f>
        <v>431720220806184317232570</v>
      </c>
      <c r="C98" s="5" t="s">
        <v>6</v>
      </c>
      <c r="D98" s="4" t="str">
        <f>"符慧玲"</f>
        <v>符慧玲</v>
      </c>
      <c r="E98" s="4" t="str">
        <f t="shared" si="4"/>
        <v>女</v>
      </c>
    </row>
    <row r="99" customHeight="1" spans="1:5">
      <c r="A99" s="4">
        <v>97</v>
      </c>
      <c r="B99" s="4" t="str">
        <f>"431720220806185357232580"</f>
        <v>431720220806185357232580</v>
      </c>
      <c r="C99" s="5" t="s">
        <v>6</v>
      </c>
      <c r="D99" s="4" t="str">
        <f>"范珊珊"</f>
        <v>范珊珊</v>
      </c>
      <c r="E99" s="4" t="str">
        <f t="shared" si="4"/>
        <v>女</v>
      </c>
    </row>
    <row r="100" customHeight="1" spans="1:5">
      <c r="A100" s="4">
        <v>98</v>
      </c>
      <c r="B100" s="4" t="str">
        <f>"431720220806185656232582"</f>
        <v>431720220806185656232582</v>
      </c>
      <c r="C100" s="5" t="s">
        <v>6</v>
      </c>
      <c r="D100" s="4" t="str">
        <f>"孟思倩"</f>
        <v>孟思倩</v>
      </c>
      <c r="E100" s="4" t="str">
        <f t="shared" si="4"/>
        <v>女</v>
      </c>
    </row>
    <row r="101" customHeight="1" spans="1:5">
      <c r="A101" s="4">
        <v>99</v>
      </c>
      <c r="B101" s="4" t="str">
        <f>"431720220806191208232593"</f>
        <v>431720220806191208232593</v>
      </c>
      <c r="C101" s="5" t="s">
        <v>6</v>
      </c>
      <c r="D101" s="4" t="str">
        <f>"王琳"</f>
        <v>王琳</v>
      </c>
      <c r="E101" s="4" t="str">
        <f t="shared" si="4"/>
        <v>女</v>
      </c>
    </row>
    <row r="102" customHeight="1" spans="1:5">
      <c r="A102" s="4">
        <v>100</v>
      </c>
      <c r="B102" s="4" t="str">
        <f>"431720220806191958232597"</f>
        <v>431720220806191958232597</v>
      </c>
      <c r="C102" s="5" t="s">
        <v>6</v>
      </c>
      <c r="D102" s="4" t="str">
        <f>"陈赛苗"</f>
        <v>陈赛苗</v>
      </c>
      <c r="E102" s="4" t="str">
        <f t="shared" si="4"/>
        <v>女</v>
      </c>
    </row>
    <row r="103" customHeight="1" spans="1:5">
      <c r="A103" s="4">
        <v>101</v>
      </c>
      <c r="B103" s="4" t="str">
        <f>"431720220806193056232611"</f>
        <v>431720220806193056232611</v>
      </c>
      <c r="C103" s="5" t="s">
        <v>6</v>
      </c>
      <c r="D103" s="4" t="str">
        <f>"程柏桦"</f>
        <v>程柏桦</v>
      </c>
      <c r="E103" s="4" t="str">
        <f>"男"</f>
        <v>男</v>
      </c>
    </row>
    <row r="104" customHeight="1" spans="1:5">
      <c r="A104" s="4">
        <v>102</v>
      </c>
      <c r="B104" s="4" t="str">
        <f>"431720220806193107232612"</f>
        <v>431720220806193107232612</v>
      </c>
      <c r="C104" s="5" t="s">
        <v>6</v>
      </c>
      <c r="D104" s="4" t="str">
        <f>"秦琴"</f>
        <v>秦琴</v>
      </c>
      <c r="E104" s="4" t="str">
        <f t="shared" ref="E104:E111" si="5">"女"</f>
        <v>女</v>
      </c>
    </row>
    <row r="105" customHeight="1" spans="1:5">
      <c r="A105" s="4">
        <v>103</v>
      </c>
      <c r="B105" s="4" t="str">
        <f>"431720220806193658232621"</f>
        <v>431720220806193658232621</v>
      </c>
      <c r="C105" s="5" t="s">
        <v>6</v>
      </c>
      <c r="D105" s="4" t="str">
        <f>"李可兰"</f>
        <v>李可兰</v>
      </c>
      <c r="E105" s="4" t="str">
        <f t="shared" si="5"/>
        <v>女</v>
      </c>
    </row>
    <row r="106" customHeight="1" spans="1:5">
      <c r="A106" s="4">
        <v>104</v>
      </c>
      <c r="B106" s="4" t="str">
        <f>"431720220806194428232635"</f>
        <v>431720220806194428232635</v>
      </c>
      <c r="C106" s="5" t="s">
        <v>6</v>
      </c>
      <c r="D106" s="4" t="str">
        <f>"石晓兰"</f>
        <v>石晓兰</v>
      </c>
      <c r="E106" s="4" t="str">
        <f t="shared" si="5"/>
        <v>女</v>
      </c>
    </row>
    <row r="107" customHeight="1" spans="1:5">
      <c r="A107" s="4">
        <v>105</v>
      </c>
      <c r="B107" s="4" t="str">
        <f>"431720220806195236232647"</f>
        <v>431720220806195236232647</v>
      </c>
      <c r="C107" s="5" t="s">
        <v>6</v>
      </c>
      <c r="D107" s="4" t="str">
        <f>"吴月萍"</f>
        <v>吴月萍</v>
      </c>
      <c r="E107" s="4" t="str">
        <f t="shared" si="5"/>
        <v>女</v>
      </c>
    </row>
    <row r="108" customHeight="1" spans="1:5">
      <c r="A108" s="4">
        <v>106</v>
      </c>
      <c r="B108" s="4" t="str">
        <f>"431720220806195538232650"</f>
        <v>431720220806195538232650</v>
      </c>
      <c r="C108" s="5" t="s">
        <v>6</v>
      </c>
      <c r="D108" s="4" t="str">
        <f>"李振妃"</f>
        <v>李振妃</v>
      </c>
      <c r="E108" s="4" t="str">
        <f t="shared" si="5"/>
        <v>女</v>
      </c>
    </row>
    <row r="109" customHeight="1" spans="1:5">
      <c r="A109" s="4">
        <v>107</v>
      </c>
      <c r="B109" s="4" t="str">
        <f>"431720220806200046232656"</f>
        <v>431720220806200046232656</v>
      </c>
      <c r="C109" s="5" t="s">
        <v>6</v>
      </c>
      <c r="D109" s="4" t="str">
        <f>"赵爱花"</f>
        <v>赵爱花</v>
      </c>
      <c r="E109" s="4" t="str">
        <f t="shared" si="5"/>
        <v>女</v>
      </c>
    </row>
    <row r="110" customHeight="1" spans="1:5">
      <c r="A110" s="4">
        <v>108</v>
      </c>
      <c r="B110" s="4" t="str">
        <f>"431720220806200751232670"</f>
        <v>431720220806200751232670</v>
      </c>
      <c r="C110" s="5" t="s">
        <v>6</v>
      </c>
      <c r="D110" s="4" t="str">
        <f>"羊香梅"</f>
        <v>羊香梅</v>
      </c>
      <c r="E110" s="4" t="str">
        <f t="shared" si="5"/>
        <v>女</v>
      </c>
    </row>
    <row r="111" customHeight="1" spans="1:5">
      <c r="A111" s="4">
        <v>109</v>
      </c>
      <c r="B111" s="4" t="str">
        <f>"431720220806201213232676"</f>
        <v>431720220806201213232676</v>
      </c>
      <c r="C111" s="5" t="s">
        <v>6</v>
      </c>
      <c r="D111" s="4" t="str">
        <f>"李海珍"</f>
        <v>李海珍</v>
      </c>
      <c r="E111" s="4" t="str">
        <f t="shared" si="5"/>
        <v>女</v>
      </c>
    </row>
    <row r="112" customHeight="1" spans="1:5">
      <c r="A112" s="4">
        <v>110</v>
      </c>
      <c r="B112" s="4" t="str">
        <f>"431720220806201559232680"</f>
        <v>431720220806201559232680</v>
      </c>
      <c r="C112" s="5" t="s">
        <v>6</v>
      </c>
      <c r="D112" s="4" t="str">
        <f>"焦雷"</f>
        <v>焦雷</v>
      </c>
      <c r="E112" s="4" t="str">
        <f>"男"</f>
        <v>男</v>
      </c>
    </row>
    <row r="113" customHeight="1" spans="1:5">
      <c r="A113" s="4">
        <v>111</v>
      </c>
      <c r="B113" s="4" t="str">
        <f>"431720220806202220232694"</f>
        <v>431720220806202220232694</v>
      </c>
      <c r="C113" s="5" t="s">
        <v>6</v>
      </c>
      <c r="D113" s="4" t="str">
        <f>"张云花"</f>
        <v>张云花</v>
      </c>
      <c r="E113" s="4" t="str">
        <f t="shared" ref="E113:E123" si="6">"女"</f>
        <v>女</v>
      </c>
    </row>
    <row r="114" customHeight="1" spans="1:5">
      <c r="A114" s="4">
        <v>112</v>
      </c>
      <c r="B114" s="4" t="str">
        <f>"431720220806203058232698"</f>
        <v>431720220806203058232698</v>
      </c>
      <c r="C114" s="5" t="s">
        <v>6</v>
      </c>
      <c r="D114" s="4" t="str">
        <f>"张少艳"</f>
        <v>张少艳</v>
      </c>
      <c r="E114" s="4" t="str">
        <f t="shared" si="6"/>
        <v>女</v>
      </c>
    </row>
    <row r="115" customHeight="1" spans="1:5">
      <c r="A115" s="4">
        <v>113</v>
      </c>
      <c r="B115" s="4" t="str">
        <f>"431720220806204025232709"</f>
        <v>431720220806204025232709</v>
      </c>
      <c r="C115" s="5" t="s">
        <v>6</v>
      </c>
      <c r="D115" s="4" t="str">
        <f>"赵珂"</f>
        <v>赵珂</v>
      </c>
      <c r="E115" s="4" t="str">
        <f t="shared" si="6"/>
        <v>女</v>
      </c>
    </row>
    <row r="116" customHeight="1" spans="1:5">
      <c r="A116" s="4">
        <v>114</v>
      </c>
      <c r="B116" s="4" t="str">
        <f>"431720220806205209232718"</f>
        <v>431720220806205209232718</v>
      </c>
      <c r="C116" s="5" t="s">
        <v>6</v>
      </c>
      <c r="D116" s="4" t="str">
        <f>"李小健"</f>
        <v>李小健</v>
      </c>
      <c r="E116" s="4" t="str">
        <f t="shared" si="6"/>
        <v>女</v>
      </c>
    </row>
    <row r="117" customHeight="1" spans="1:5">
      <c r="A117" s="4">
        <v>115</v>
      </c>
      <c r="B117" s="4" t="str">
        <f>"431720220806211436232740"</f>
        <v>431720220806211436232740</v>
      </c>
      <c r="C117" s="5" t="s">
        <v>6</v>
      </c>
      <c r="D117" s="4" t="str">
        <f>"林慧丽"</f>
        <v>林慧丽</v>
      </c>
      <c r="E117" s="4" t="str">
        <f t="shared" si="6"/>
        <v>女</v>
      </c>
    </row>
    <row r="118" customHeight="1" spans="1:5">
      <c r="A118" s="4">
        <v>116</v>
      </c>
      <c r="B118" s="4" t="str">
        <f>"431720220806212602232748"</f>
        <v>431720220806212602232748</v>
      </c>
      <c r="C118" s="5" t="s">
        <v>6</v>
      </c>
      <c r="D118" s="4" t="str">
        <f>"庄丽莹"</f>
        <v>庄丽莹</v>
      </c>
      <c r="E118" s="4" t="str">
        <f t="shared" si="6"/>
        <v>女</v>
      </c>
    </row>
    <row r="119" customHeight="1" spans="1:5">
      <c r="A119" s="4">
        <v>117</v>
      </c>
      <c r="B119" s="4" t="str">
        <f>"431720220806214340232770"</f>
        <v>431720220806214340232770</v>
      </c>
      <c r="C119" s="5" t="s">
        <v>6</v>
      </c>
      <c r="D119" s="4" t="str">
        <f>"符梅燕"</f>
        <v>符梅燕</v>
      </c>
      <c r="E119" s="4" t="str">
        <f t="shared" si="6"/>
        <v>女</v>
      </c>
    </row>
    <row r="120" customHeight="1" spans="1:5">
      <c r="A120" s="4">
        <v>118</v>
      </c>
      <c r="B120" s="4" t="str">
        <f>"431720220806214707232772"</f>
        <v>431720220806214707232772</v>
      </c>
      <c r="C120" s="5" t="s">
        <v>6</v>
      </c>
      <c r="D120" s="4" t="str">
        <f>"李素"</f>
        <v>李素</v>
      </c>
      <c r="E120" s="4" t="str">
        <f t="shared" si="6"/>
        <v>女</v>
      </c>
    </row>
    <row r="121" customHeight="1" spans="1:5">
      <c r="A121" s="4">
        <v>119</v>
      </c>
      <c r="B121" s="4" t="str">
        <f>"431720220806222908232812"</f>
        <v>431720220806222908232812</v>
      </c>
      <c r="C121" s="5" t="s">
        <v>6</v>
      </c>
      <c r="D121" s="4" t="str">
        <f>"黄文骞"</f>
        <v>黄文骞</v>
      </c>
      <c r="E121" s="4" t="str">
        <f t="shared" si="6"/>
        <v>女</v>
      </c>
    </row>
    <row r="122" customHeight="1" spans="1:5">
      <c r="A122" s="4">
        <v>120</v>
      </c>
      <c r="B122" s="4" t="str">
        <f>"431720220806222928232814"</f>
        <v>431720220806222928232814</v>
      </c>
      <c r="C122" s="5" t="s">
        <v>6</v>
      </c>
      <c r="D122" s="4" t="str">
        <f>"劳海丽"</f>
        <v>劳海丽</v>
      </c>
      <c r="E122" s="4" t="str">
        <f t="shared" si="6"/>
        <v>女</v>
      </c>
    </row>
    <row r="123" customHeight="1" spans="1:5">
      <c r="A123" s="4">
        <v>121</v>
      </c>
      <c r="B123" s="4" t="str">
        <f>"431720220806223412232817"</f>
        <v>431720220806223412232817</v>
      </c>
      <c r="C123" s="5" t="s">
        <v>6</v>
      </c>
      <c r="D123" s="4" t="str">
        <f>"陈文文"</f>
        <v>陈文文</v>
      </c>
      <c r="E123" s="4" t="str">
        <f t="shared" si="6"/>
        <v>女</v>
      </c>
    </row>
    <row r="124" customHeight="1" spans="1:5">
      <c r="A124" s="4">
        <v>122</v>
      </c>
      <c r="B124" s="4" t="str">
        <f>"431720220806225318232829"</f>
        <v>431720220806225318232829</v>
      </c>
      <c r="C124" s="5" t="s">
        <v>6</v>
      </c>
      <c r="D124" s="4" t="str">
        <f>"冯宣华"</f>
        <v>冯宣华</v>
      </c>
      <c r="E124" s="4" t="str">
        <f>"男"</f>
        <v>男</v>
      </c>
    </row>
    <row r="125" customHeight="1" spans="1:5">
      <c r="A125" s="4">
        <v>123</v>
      </c>
      <c r="B125" s="4" t="str">
        <f>"431720220806231334232840"</f>
        <v>431720220806231334232840</v>
      </c>
      <c r="C125" s="5" t="s">
        <v>6</v>
      </c>
      <c r="D125" s="4" t="str">
        <f>"吴惠丽"</f>
        <v>吴惠丽</v>
      </c>
      <c r="E125" s="4" t="str">
        <f t="shared" ref="E125:E135" si="7">"女"</f>
        <v>女</v>
      </c>
    </row>
    <row r="126" customHeight="1" spans="1:5">
      <c r="A126" s="4">
        <v>124</v>
      </c>
      <c r="B126" s="4" t="str">
        <f>"431720220806231341232842"</f>
        <v>431720220806231341232842</v>
      </c>
      <c r="C126" s="5" t="s">
        <v>6</v>
      </c>
      <c r="D126" s="4" t="str">
        <f>"童丽秋"</f>
        <v>童丽秋</v>
      </c>
      <c r="E126" s="4" t="str">
        <f t="shared" si="7"/>
        <v>女</v>
      </c>
    </row>
    <row r="127" customHeight="1" spans="1:5">
      <c r="A127" s="4">
        <v>125</v>
      </c>
      <c r="B127" s="4" t="str">
        <f>"431720220806232817232853"</f>
        <v>431720220806232817232853</v>
      </c>
      <c r="C127" s="5" t="s">
        <v>6</v>
      </c>
      <c r="D127" s="4" t="str">
        <f>"陈慧怡"</f>
        <v>陈慧怡</v>
      </c>
      <c r="E127" s="4" t="str">
        <f t="shared" si="7"/>
        <v>女</v>
      </c>
    </row>
    <row r="128" customHeight="1" spans="1:5">
      <c r="A128" s="4">
        <v>126</v>
      </c>
      <c r="B128" s="4" t="str">
        <f>"431720220806235138232871"</f>
        <v>431720220806235138232871</v>
      </c>
      <c r="C128" s="5" t="s">
        <v>6</v>
      </c>
      <c r="D128" s="4" t="str">
        <f>"周暖暖"</f>
        <v>周暖暖</v>
      </c>
      <c r="E128" s="4" t="str">
        <f t="shared" si="7"/>
        <v>女</v>
      </c>
    </row>
    <row r="129" customHeight="1" spans="1:5">
      <c r="A129" s="4">
        <v>127</v>
      </c>
      <c r="B129" s="4" t="str">
        <f>"431720220807003623232885"</f>
        <v>431720220807003623232885</v>
      </c>
      <c r="C129" s="5" t="s">
        <v>6</v>
      </c>
      <c r="D129" s="4" t="str">
        <f>"吴巧"</f>
        <v>吴巧</v>
      </c>
      <c r="E129" s="4" t="str">
        <f t="shared" si="7"/>
        <v>女</v>
      </c>
    </row>
    <row r="130" customHeight="1" spans="1:5">
      <c r="A130" s="4">
        <v>128</v>
      </c>
      <c r="B130" s="4" t="str">
        <f>"431720220807075856232917"</f>
        <v>431720220807075856232917</v>
      </c>
      <c r="C130" s="5" t="s">
        <v>6</v>
      </c>
      <c r="D130" s="4" t="str">
        <f>"钱小云"</f>
        <v>钱小云</v>
      </c>
      <c r="E130" s="4" t="str">
        <f t="shared" si="7"/>
        <v>女</v>
      </c>
    </row>
    <row r="131" customHeight="1" spans="1:5">
      <c r="A131" s="4">
        <v>129</v>
      </c>
      <c r="B131" s="4" t="str">
        <f>"431720220807081215232923"</f>
        <v>431720220807081215232923</v>
      </c>
      <c r="C131" s="5" t="s">
        <v>6</v>
      </c>
      <c r="D131" s="4" t="str">
        <f>"陈玉敏"</f>
        <v>陈玉敏</v>
      </c>
      <c r="E131" s="4" t="str">
        <f t="shared" si="7"/>
        <v>女</v>
      </c>
    </row>
    <row r="132" customHeight="1" spans="1:5">
      <c r="A132" s="4">
        <v>130</v>
      </c>
      <c r="B132" s="4" t="str">
        <f>"431720220807094010232977"</f>
        <v>431720220807094010232977</v>
      </c>
      <c r="C132" s="5" t="s">
        <v>6</v>
      </c>
      <c r="D132" s="4" t="str">
        <f>"周吉慧"</f>
        <v>周吉慧</v>
      </c>
      <c r="E132" s="4" t="str">
        <f t="shared" si="7"/>
        <v>女</v>
      </c>
    </row>
    <row r="133" customHeight="1" spans="1:5">
      <c r="A133" s="4">
        <v>131</v>
      </c>
      <c r="B133" s="4" t="str">
        <f>"431720220807094141232978"</f>
        <v>431720220807094141232978</v>
      </c>
      <c r="C133" s="5" t="s">
        <v>6</v>
      </c>
      <c r="D133" s="4" t="str">
        <f>"何尾月"</f>
        <v>何尾月</v>
      </c>
      <c r="E133" s="4" t="str">
        <f t="shared" si="7"/>
        <v>女</v>
      </c>
    </row>
    <row r="134" customHeight="1" spans="1:5">
      <c r="A134" s="4">
        <v>132</v>
      </c>
      <c r="B134" s="4" t="str">
        <f>"431720220807095428232994"</f>
        <v>431720220807095428232994</v>
      </c>
      <c r="C134" s="5" t="s">
        <v>6</v>
      </c>
      <c r="D134" s="4" t="str">
        <f>"黄慧娟"</f>
        <v>黄慧娟</v>
      </c>
      <c r="E134" s="4" t="str">
        <f t="shared" si="7"/>
        <v>女</v>
      </c>
    </row>
    <row r="135" customHeight="1" spans="1:5">
      <c r="A135" s="4">
        <v>133</v>
      </c>
      <c r="B135" s="4" t="str">
        <f>"431720220807095930233000"</f>
        <v>431720220807095930233000</v>
      </c>
      <c r="C135" s="5" t="s">
        <v>6</v>
      </c>
      <c r="D135" s="4" t="str">
        <f>"吴程燕"</f>
        <v>吴程燕</v>
      </c>
      <c r="E135" s="4" t="str">
        <f t="shared" si="7"/>
        <v>女</v>
      </c>
    </row>
    <row r="136" customHeight="1" spans="1:5">
      <c r="A136" s="4">
        <v>134</v>
      </c>
      <c r="B136" s="4" t="str">
        <f>"431720220807102149233026"</f>
        <v>431720220807102149233026</v>
      </c>
      <c r="C136" s="5" t="s">
        <v>6</v>
      </c>
      <c r="D136" s="4" t="str">
        <f>"陈亮"</f>
        <v>陈亮</v>
      </c>
      <c r="E136" s="4" t="str">
        <f>"男"</f>
        <v>男</v>
      </c>
    </row>
    <row r="137" customHeight="1" spans="1:5">
      <c r="A137" s="4">
        <v>135</v>
      </c>
      <c r="B137" s="4" t="str">
        <f>"431720220807103721233042"</f>
        <v>431720220807103721233042</v>
      </c>
      <c r="C137" s="5" t="s">
        <v>6</v>
      </c>
      <c r="D137" s="4" t="str">
        <f>"符利静"</f>
        <v>符利静</v>
      </c>
      <c r="E137" s="4" t="str">
        <f t="shared" ref="E137:E175" si="8">"女"</f>
        <v>女</v>
      </c>
    </row>
    <row r="138" customHeight="1" spans="1:5">
      <c r="A138" s="4">
        <v>136</v>
      </c>
      <c r="B138" s="4" t="str">
        <f>"431720220807104015233047"</f>
        <v>431720220807104015233047</v>
      </c>
      <c r="C138" s="5" t="s">
        <v>6</v>
      </c>
      <c r="D138" s="4" t="str">
        <f>"蔡碧霜"</f>
        <v>蔡碧霜</v>
      </c>
      <c r="E138" s="4" t="str">
        <f t="shared" si="8"/>
        <v>女</v>
      </c>
    </row>
    <row r="139" customHeight="1" spans="1:5">
      <c r="A139" s="4">
        <v>137</v>
      </c>
      <c r="B139" s="4" t="str">
        <f>"431720220807104952233058"</f>
        <v>431720220807104952233058</v>
      </c>
      <c r="C139" s="5" t="s">
        <v>6</v>
      </c>
      <c r="D139" s="4" t="str">
        <f>"王洁茹"</f>
        <v>王洁茹</v>
      </c>
      <c r="E139" s="4" t="str">
        <f t="shared" si="8"/>
        <v>女</v>
      </c>
    </row>
    <row r="140" customHeight="1" spans="1:5">
      <c r="A140" s="4">
        <v>138</v>
      </c>
      <c r="B140" s="4" t="str">
        <f>"431720220807111732233086"</f>
        <v>431720220807111732233086</v>
      </c>
      <c r="C140" s="5" t="s">
        <v>6</v>
      </c>
      <c r="D140" s="4" t="str">
        <f>"王如意"</f>
        <v>王如意</v>
      </c>
      <c r="E140" s="4" t="str">
        <f t="shared" si="8"/>
        <v>女</v>
      </c>
    </row>
    <row r="141" customHeight="1" spans="1:5">
      <c r="A141" s="4">
        <v>139</v>
      </c>
      <c r="B141" s="4" t="str">
        <f>"431720220807113055233093"</f>
        <v>431720220807113055233093</v>
      </c>
      <c r="C141" s="5" t="s">
        <v>6</v>
      </c>
      <c r="D141" s="4" t="str">
        <f>"叶琳"</f>
        <v>叶琳</v>
      </c>
      <c r="E141" s="4" t="str">
        <f t="shared" si="8"/>
        <v>女</v>
      </c>
    </row>
    <row r="142" customHeight="1" spans="1:5">
      <c r="A142" s="4">
        <v>140</v>
      </c>
      <c r="B142" s="4" t="str">
        <f>"431720220807113510233096"</f>
        <v>431720220807113510233096</v>
      </c>
      <c r="C142" s="5" t="s">
        <v>6</v>
      </c>
      <c r="D142" s="4" t="str">
        <f>"董杏妍"</f>
        <v>董杏妍</v>
      </c>
      <c r="E142" s="4" t="str">
        <f t="shared" si="8"/>
        <v>女</v>
      </c>
    </row>
    <row r="143" customHeight="1" spans="1:5">
      <c r="A143" s="4">
        <v>141</v>
      </c>
      <c r="B143" s="4" t="str">
        <f>"431720220807115030233113"</f>
        <v>431720220807115030233113</v>
      </c>
      <c r="C143" s="5" t="s">
        <v>6</v>
      </c>
      <c r="D143" s="4" t="str">
        <f>"陈薇夷"</f>
        <v>陈薇夷</v>
      </c>
      <c r="E143" s="4" t="str">
        <f t="shared" si="8"/>
        <v>女</v>
      </c>
    </row>
    <row r="144" customHeight="1" spans="1:5">
      <c r="A144" s="4">
        <v>142</v>
      </c>
      <c r="B144" s="4" t="str">
        <f>"431720220807115934233126"</f>
        <v>431720220807115934233126</v>
      </c>
      <c r="C144" s="5" t="s">
        <v>6</v>
      </c>
      <c r="D144" s="4" t="str">
        <f>"符冬雪"</f>
        <v>符冬雪</v>
      </c>
      <c r="E144" s="4" t="str">
        <f t="shared" si="8"/>
        <v>女</v>
      </c>
    </row>
    <row r="145" customHeight="1" spans="1:5">
      <c r="A145" s="4">
        <v>143</v>
      </c>
      <c r="B145" s="4" t="str">
        <f>"431720220807120543233134"</f>
        <v>431720220807120543233134</v>
      </c>
      <c r="C145" s="5" t="s">
        <v>6</v>
      </c>
      <c r="D145" s="4" t="str">
        <f>"李运玲"</f>
        <v>李运玲</v>
      </c>
      <c r="E145" s="4" t="str">
        <f t="shared" si="8"/>
        <v>女</v>
      </c>
    </row>
    <row r="146" customHeight="1" spans="1:5">
      <c r="A146" s="4">
        <v>144</v>
      </c>
      <c r="B146" s="4" t="str">
        <f>"431720220807121211233141"</f>
        <v>431720220807121211233141</v>
      </c>
      <c r="C146" s="5" t="s">
        <v>6</v>
      </c>
      <c r="D146" s="4" t="str">
        <f>"吴金梅"</f>
        <v>吴金梅</v>
      </c>
      <c r="E146" s="4" t="str">
        <f t="shared" si="8"/>
        <v>女</v>
      </c>
    </row>
    <row r="147" customHeight="1" spans="1:5">
      <c r="A147" s="4">
        <v>145</v>
      </c>
      <c r="B147" s="4" t="str">
        <f>"431720220807122934233153"</f>
        <v>431720220807122934233153</v>
      </c>
      <c r="C147" s="5" t="s">
        <v>6</v>
      </c>
      <c r="D147" s="4" t="str">
        <f>"刘晓慧"</f>
        <v>刘晓慧</v>
      </c>
      <c r="E147" s="4" t="str">
        <f t="shared" si="8"/>
        <v>女</v>
      </c>
    </row>
    <row r="148" customHeight="1" spans="1:5">
      <c r="A148" s="4">
        <v>146</v>
      </c>
      <c r="B148" s="4" t="str">
        <f>"431720220807130500233182"</f>
        <v>431720220807130500233182</v>
      </c>
      <c r="C148" s="5" t="s">
        <v>6</v>
      </c>
      <c r="D148" s="4" t="str">
        <f>"蓝玉凤"</f>
        <v>蓝玉凤</v>
      </c>
      <c r="E148" s="4" t="str">
        <f t="shared" si="8"/>
        <v>女</v>
      </c>
    </row>
    <row r="149" customHeight="1" spans="1:5">
      <c r="A149" s="4">
        <v>147</v>
      </c>
      <c r="B149" s="4" t="str">
        <f>"431720220807130904233186"</f>
        <v>431720220807130904233186</v>
      </c>
      <c r="C149" s="5" t="s">
        <v>6</v>
      </c>
      <c r="D149" s="4" t="str">
        <f>"羊芷依"</f>
        <v>羊芷依</v>
      </c>
      <c r="E149" s="4" t="str">
        <f t="shared" si="8"/>
        <v>女</v>
      </c>
    </row>
    <row r="150" customHeight="1" spans="1:5">
      <c r="A150" s="4">
        <v>148</v>
      </c>
      <c r="B150" s="4" t="str">
        <f>"431720220807134647233218"</f>
        <v>431720220807134647233218</v>
      </c>
      <c r="C150" s="5" t="s">
        <v>6</v>
      </c>
      <c r="D150" s="4" t="str">
        <f>"王雪翠"</f>
        <v>王雪翠</v>
      </c>
      <c r="E150" s="4" t="str">
        <f t="shared" si="8"/>
        <v>女</v>
      </c>
    </row>
    <row r="151" customHeight="1" spans="1:5">
      <c r="A151" s="4">
        <v>149</v>
      </c>
      <c r="B151" s="4" t="str">
        <f>"431720220807140704233236"</f>
        <v>431720220807140704233236</v>
      </c>
      <c r="C151" s="5" t="s">
        <v>6</v>
      </c>
      <c r="D151" s="4" t="str">
        <f>"林炽婷"</f>
        <v>林炽婷</v>
      </c>
      <c r="E151" s="4" t="str">
        <f t="shared" si="8"/>
        <v>女</v>
      </c>
    </row>
    <row r="152" customHeight="1" spans="1:5">
      <c r="A152" s="4">
        <v>150</v>
      </c>
      <c r="B152" s="4" t="str">
        <f>"431720220807141437233249"</f>
        <v>431720220807141437233249</v>
      </c>
      <c r="C152" s="5" t="s">
        <v>6</v>
      </c>
      <c r="D152" s="4" t="str">
        <f>"刘龄鸿"</f>
        <v>刘龄鸿</v>
      </c>
      <c r="E152" s="4" t="str">
        <f t="shared" si="8"/>
        <v>女</v>
      </c>
    </row>
    <row r="153" customHeight="1" spans="1:5">
      <c r="A153" s="4">
        <v>151</v>
      </c>
      <c r="B153" s="4" t="str">
        <f>"431720220807143637233269"</f>
        <v>431720220807143637233269</v>
      </c>
      <c r="C153" s="5" t="s">
        <v>6</v>
      </c>
      <c r="D153" s="4" t="str">
        <f>"蒲石妹"</f>
        <v>蒲石妹</v>
      </c>
      <c r="E153" s="4" t="str">
        <f t="shared" si="8"/>
        <v>女</v>
      </c>
    </row>
    <row r="154" customHeight="1" spans="1:5">
      <c r="A154" s="4">
        <v>152</v>
      </c>
      <c r="B154" s="4" t="str">
        <f>"431720220807145914233285"</f>
        <v>431720220807145914233285</v>
      </c>
      <c r="C154" s="5" t="s">
        <v>6</v>
      </c>
      <c r="D154" s="4" t="str">
        <f>"杨璐"</f>
        <v>杨璐</v>
      </c>
      <c r="E154" s="4" t="str">
        <f t="shared" si="8"/>
        <v>女</v>
      </c>
    </row>
    <row r="155" customHeight="1" spans="1:5">
      <c r="A155" s="4">
        <v>153</v>
      </c>
      <c r="B155" s="4" t="str">
        <f>"431720220807152955233321"</f>
        <v>431720220807152955233321</v>
      </c>
      <c r="C155" s="5" t="s">
        <v>6</v>
      </c>
      <c r="D155" s="4" t="str">
        <f>"黄玉山"</f>
        <v>黄玉山</v>
      </c>
      <c r="E155" s="4" t="str">
        <f t="shared" si="8"/>
        <v>女</v>
      </c>
    </row>
    <row r="156" customHeight="1" spans="1:5">
      <c r="A156" s="4">
        <v>154</v>
      </c>
      <c r="B156" s="4" t="str">
        <f>"431720220807154114233335"</f>
        <v>431720220807154114233335</v>
      </c>
      <c r="C156" s="5" t="s">
        <v>6</v>
      </c>
      <c r="D156" s="4" t="str">
        <f>"韩千红"</f>
        <v>韩千红</v>
      </c>
      <c r="E156" s="4" t="str">
        <f t="shared" si="8"/>
        <v>女</v>
      </c>
    </row>
    <row r="157" customHeight="1" spans="1:5">
      <c r="A157" s="4">
        <v>155</v>
      </c>
      <c r="B157" s="4" t="str">
        <f>"431720220807160542233365"</f>
        <v>431720220807160542233365</v>
      </c>
      <c r="C157" s="5" t="s">
        <v>6</v>
      </c>
      <c r="D157" s="4" t="str">
        <f>"符芷芸"</f>
        <v>符芷芸</v>
      </c>
      <c r="E157" s="4" t="str">
        <f t="shared" si="8"/>
        <v>女</v>
      </c>
    </row>
    <row r="158" customHeight="1" spans="1:5">
      <c r="A158" s="4">
        <v>156</v>
      </c>
      <c r="B158" s="4" t="str">
        <f>"431720220807161825233386"</f>
        <v>431720220807161825233386</v>
      </c>
      <c r="C158" s="5" t="s">
        <v>6</v>
      </c>
      <c r="D158" s="4" t="str">
        <f>"关冉歆"</f>
        <v>关冉歆</v>
      </c>
      <c r="E158" s="4" t="str">
        <f t="shared" si="8"/>
        <v>女</v>
      </c>
    </row>
    <row r="159" customHeight="1" spans="1:5">
      <c r="A159" s="4">
        <v>157</v>
      </c>
      <c r="B159" s="4" t="str">
        <f>"431720220807162049233393"</f>
        <v>431720220807162049233393</v>
      </c>
      <c r="C159" s="5" t="s">
        <v>6</v>
      </c>
      <c r="D159" s="4" t="str">
        <f>"刘思雨"</f>
        <v>刘思雨</v>
      </c>
      <c r="E159" s="4" t="str">
        <f t="shared" si="8"/>
        <v>女</v>
      </c>
    </row>
    <row r="160" customHeight="1" spans="1:5">
      <c r="A160" s="4">
        <v>158</v>
      </c>
      <c r="B160" s="4" t="str">
        <f>"431720220807162709233395"</f>
        <v>431720220807162709233395</v>
      </c>
      <c r="C160" s="5" t="s">
        <v>6</v>
      </c>
      <c r="D160" s="4" t="str">
        <f>"钟专"</f>
        <v>钟专</v>
      </c>
      <c r="E160" s="4" t="str">
        <f t="shared" si="8"/>
        <v>女</v>
      </c>
    </row>
    <row r="161" customHeight="1" spans="1:5">
      <c r="A161" s="4">
        <v>159</v>
      </c>
      <c r="B161" s="4" t="str">
        <f>"431720220807163044233397"</f>
        <v>431720220807163044233397</v>
      </c>
      <c r="C161" s="5" t="s">
        <v>6</v>
      </c>
      <c r="D161" s="4" t="str">
        <f>"符锡垦"</f>
        <v>符锡垦</v>
      </c>
      <c r="E161" s="4" t="str">
        <f t="shared" si="8"/>
        <v>女</v>
      </c>
    </row>
    <row r="162" customHeight="1" spans="1:5">
      <c r="A162" s="4">
        <v>160</v>
      </c>
      <c r="B162" s="4" t="str">
        <f>"431720220807163427233402"</f>
        <v>431720220807163427233402</v>
      </c>
      <c r="C162" s="5" t="s">
        <v>6</v>
      </c>
      <c r="D162" s="4" t="str">
        <f>"黄紫薇"</f>
        <v>黄紫薇</v>
      </c>
      <c r="E162" s="4" t="str">
        <f t="shared" si="8"/>
        <v>女</v>
      </c>
    </row>
    <row r="163" customHeight="1" spans="1:5">
      <c r="A163" s="4">
        <v>161</v>
      </c>
      <c r="B163" s="4" t="str">
        <f>"431720220807164026233409"</f>
        <v>431720220807164026233409</v>
      </c>
      <c r="C163" s="5" t="s">
        <v>6</v>
      </c>
      <c r="D163" s="4" t="str">
        <f>"高天娥"</f>
        <v>高天娥</v>
      </c>
      <c r="E163" s="4" t="str">
        <f t="shared" si="8"/>
        <v>女</v>
      </c>
    </row>
    <row r="164" customHeight="1" spans="1:5">
      <c r="A164" s="4">
        <v>162</v>
      </c>
      <c r="B164" s="4" t="str">
        <f>"431720220807172326233452"</f>
        <v>431720220807172326233452</v>
      </c>
      <c r="C164" s="5" t="s">
        <v>6</v>
      </c>
      <c r="D164" s="4" t="str">
        <f>"杨冬菊"</f>
        <v>杨冬菊</v>
      </c>
      <c r="E164" s="4" t="str">
        <f t="shared" si="8"/>
        <v>女</v>
      </c>
    </row>
    <row r="165" customHeight="1" spans="1:5">
      <c r="A165" s="4">
        <v>163</v>
      </c>
      <c r="B165" s="4" t="str">
        <f>"431720220807172627233457"</f>
        <v>431720220807172627233457</v>
      </c>
      <c r="C165" s="5" t="s">
        <v>6</v>
      </c>
      <c r="D165" s="4" t="str">
        <f>"王红棉"</f>
        <v>王红棉</v>
      </c>
      <c r="E165" s="4" t="str">
        <f t="shared" si="8"/>
        <v>女</v>
      </c>
    </row>
    <row r="166" customHeight="1" spans="1:5">
      <c r="A166" s="4">
        <v>164</v>
      </c>
      <c r="B166" s="4" t="str">
        <f>"431720220807173750233465"</f>
        <v>431720220807173750233465</v>
      </c>
      <c r="C166" s="5" t="s">
        <v>6</v>
      </c>
      <c r="D166" s="4" t="str">
        <f>"黎丽娟"</f>
        <v>黎丽娟</v>
      </c>
      <c r="E166" s="4" t="str">
        <f t="shared" si="8"/>
        <v>女</v>
      </c>
    </row>
    <row r="167" customHeight="1" spans="1:5">
      <c r="A167" s="4">
        <v>165</v>
      </c>
      <c r="B167" s="4" t="str">
        <f>"431720220807174539233467"</f>
        <v>431720220807174539233467</v>
      </c>
      <c r="C167" s="5" t="s">
        <v>6</v>
      </c>
      <c r="D167" s="4" t="str">
        <f>"王浪洁"</f>
        <v>王浪洁</v>
      </c>
      <c r="E167" s="4" t="str">
        <f t="shared" si="8"/>
        <v>女</v>
      </c>
    </row>
    <row r="168" customHeight="1" spans="1:5">
      <c r="A168" s="4">
        <v>166</v>
      </c>
      <c r="B168" s="4" t="str">
        <f>"431720220807175430233472"</f>
        <v>431720220807175430233472</v>
      </c>
      <c r="C168" s="5" t="s">
        <v>6</v>
      </c>
      <c r="D168" s="4" t="str">
        <f>"曾丽娜"</f>
        <v>曾丽娜</v>
      </c>
      <c r="E168" s="4" t="str">
        <f t="shared" si="8"/>
        <v>女</v>
      </c>
    </row>
    <row r="169" customHeight="1" spans="1:5">
      <c r="A169" s="4">
        <v>167</v>
      </c>
      <c r="B169" s="4" t="str">
        <f>"431720220807180412233484"</f>
        <v>431720220807180412233484</v>
      </c>
      <c r="C169" s="5" t="s">
        <v>6</v>
      </c>
      <c r="D169" s="4" t="str">
        <f>"李莉芬"</f>
        <v>李莉芬</v>
      </c>
      <c r="E169" s="4" t="str">
        <f t="shared" si="8"/>
        <v>女</v>
      </c>
    </row>
    <row r="170" customHeight="1" spans="1:5">
      <c r="A170" s="4">
        <v>168</v>
      </c>
      <c r="B170" s="4" t="str">
        <f>"431720220807181202233487"</f>
        <v>431720220807181202233487</v>
      </c>
      <c r="C170" s="5" t="s">
        <v>6</v>
      </c>
      <c r="D170" s="4" t="str">
        <f>"陈嫦初"</f>
        <v>陈嫦初</v>
      </c>
      <c r="E170" s="4" t="str">
        <f t="shared" si="8"/>
        <v>女</v>
      </c>
    </row>
    <row r="171" customHeight="1" spans="1:5">
      <c r="A171" s="4">
        <v>169</v>
      </c>
      <c r="B171" s="4" t="str">
        <f>"431720220807181215233488"</f>
        <v>431720220807181215233488</v>
      </c>
      <c r="C171" s="5" t="s">
        <v>6</v>
      </c>
      <c r="D171" s="4" t="str">
        <f>"李官杏"</f>
        <v>李官杏</v>
      </c>
      <c r="E171" s="4" t="str">
        <f t="shared" si="8"/>
        <v>女</v>
      </c>
    </row>
    <row r="172" customHeight="1" spans="1:5">
      <c r="A172" s="4">
        <v>170</v>
      </c>
      <c r="B172" s="4" t="str">
        <f>"431720220807184543233506"</f>
        <v>431720220807184543233506</v>
      </c>
      <c r="C172" s="5" t="s">
        <v>6</v>
      </c>
      <c r="D172" s="4" t="str">
        <f>"黎兴芳"</f>
        <v>黎兴芳</v>
      </c>
      <c r="E172" s="4" t="str">
        <f t="shared" si="8"/>
        <v>女</v>
      </c>
    </row>
    <row r="173" customHeight="1" spans="1:5">
      <c r="A173" s="4">
        <v>171</v>
      </c>
      <c r="B173" s="4" t="str">
        <f>"431720220807194120233528"</f>
        <v>431720220807194120233528</v>
      </c>
      <c r="C173" s="5" t="s">
        <v>6</v>
      </c>
      <c r="D173" s="4" t="str">
        <f>"吴姝谕"</f>
        <v>吴姝谕</v>
      </c>
      <c r="E173" s="4" t="str">
        <f t="shared" si="8"/>
        <v>女</v>
      </c>
    </row>
    <row r="174" customHeight="1" spans="1:5">
      <c r="A174" s="4">
        <v>172</v>
      </c>
      <c r="B174" s="4" t="str">
        <f>"431720220807195252233534"</f>
        <v>431720220807195252233534</v>
      </c>
      <c r="C174" s="5" t="s">
        <v>6</v>
      </c>
      <c r="D174" s="4" t="str">
        <f>"苏小菊"</f>
        <v>苏小菊</v>
      </c>
      <c r="E174" s="4" t="str">
        <f t="shared" si="8"/>
        <v>女</v>
      </c>
    </row>
    <row r="175" customHeight="1" spans="1:5">
      <c r="A175" s="4">
        <v>173</v>
      </c>
      <c r="B175" s="4" t="str">
        <f>"431720220807200919233544"</f>
        <v>431720220807200919233544</v>
      </c>
      <c r="C175" s="5" t="s">
        <v>6</v>
      </c>
      <c r="D175" s="4" t="str">
        <f>"邓伟慧"</f>
        <v>邓伟慧</v>
      </c>
      <c r="E175" s="4" t="str">
        <f t="shared" si="8"/>
        <v>女</v>
      </c>
    </row>
    <row r="176" customHeight="1" spans="1:5">
      <c r="A176" s="4">
        <v>174</v>
      </c>
      <c r="B176" s="4" t="str">
        <f>"431720220807210325233580"</f>
        <v>431720220807210325233580</v>
      </c>
      <c r="C176" s="5" t="s">
        <v>6</v>
      </c>
      <c r="D176" s="4" t="str">
        <f>"王杰"</f>
        <v>王杰</v>
      </c>
      <c r="E176" s="4" t="str">
        <f>"男"</f>
        <v>男</v>
      </c>
    </row>
    <row r="177" customHeight="1" spans="1:5">
      <c r="A177" s="4">
        <v>175</v>
      </c>
      <c r="B177" s="4" t="str">
        <f>"431720220807213818233602"</f>
        <v>431720220807213818233602</v>
      </c>
      <c r="C177" s="5" t="s">
        <v>6</v>
      </c>
      <c r="D177" s="4" t="str">
        <f>"王小芬"</f>
        <v>王小芬</v>
      </c>
      <c r="E177" s="4" t="str">
        <f t="shared" ref="E177:E189" si="9">"女"</f>
        <v>女</v>
      </c>
    </row>
    <row r="178" customHeight="1" spans="1:5">
      <c r="A178" s="4">
        <v>176</v>
      </c>
      <c r="B178" s="4" t="str">
        <f>"431720220807221905233625"</f>
        <v>431720220807221905233625</v>
      </c>
      <c r="C178" s="5" t="s">
        <v>6</v>
      </c>
      <c r="D178" s="4" t="str">
        <f>"何石兰"</f>
        <v>何石兰</v>
      </c>
      <c r="E178" s="4" t="str">
        <f t="shared" si="9"/>
        <v>女</v>
      </c>
    </row>
    <row r="179" customHeight="1" spans="1:5">
      <c r="A179" s="4">
        <v>177</v>
      </c>
      <c r="B179" s="4" t="str">
        <f>"431720220807224057233645"</f>
        <v>431720220807224057233645</v>
      </c>
      <c r="C179" s="5" t="s">
        <v>6</v>
      </c>
      <c r="D179" s="4" t="str">
        <f>"汤玉丹"</f>
        <v>汤玉丹</v>
      </c>
      <c r="E179" s="4" t="str">
        <f t="shared" si="9"/>
        <v>女</v>
      </c>
    </row>
    <row r="180" customHeight="1" spans="1:5">
      <c r="A180" s="4">
        <v>178</v>
      </c>
      <c r="B180" s="4" t="str">
        <f>"431720220808092609234183"</f>
        <v>431720220808092609234183</v>
      </c>
      <c r="C180" s="5" t="s">
        <v>6</v>
      </c>
      <c r="D180" s="4" t="str">
        <f>"吴锐君"</f>
        <v>吴锐君</v>
      </c>
      <c r="E180" s="4" t="str">
        <f t="shared" si="9"/>
        <v>女</v>
      </c>
    </row>
    <row r="181" customHeight="1" spans="1:5">
      <c r="A181" s="4">
        <v>179</v>
      </c>
      <c r="B181" s="4" t="str">
        <f>"431720220808101130234497"</f>
        <v>431720220808101130234497</v>
      </c>
      <c r="C181" s="5" t="s">
        <v>6</v>
      </c>
      <c r="D181" s="4" t="str">
        <f>"苏二妹"</f>
        <v>苏二妹</v>
      </c>
      <c r="E181" s="4" t="str">
        <f t="shared" si="9"/>
        <v>女</v>
      </c>
    </row>
    <row r="182" customHeight="1" spans="1:5">
      <c r="A182" s="4">
        <v>180</v>
      </c>
      <c r="B182" s="4" t="str">
        <f>"431720220808102524234595"</f>
        <v>431720220808102524234595</v>
      </c>
      <c r="C182" s="5" t="s">
        <v>6</v>
      </c>
      <c r="D182" s="4" t="str">
        <f>"王敏"</f>
        <v>王敏</v>
      </c>
      <c r="E182" s="4" t="str">
        <f t="shared" si="9"/>
        <v>女</v>
      </c>
    </row>
    <row r="183" customHeight="1" spans="1:5">
      <c r="A183" s="4">
        <v>181</v>
      </c>
      <c r="B183" s="4" t="str">
        <f>"431720220808102955234624"</f>
        <v>431720220808102955234624</v>
      </c>
      <c r="C183" s="5" t="s">
        <v>6</v>
      </c>
      <c r="D183" s="4" t="str">
        <f>"陈爱男"</f>
        <v>陈爱男</v>
      </c>
      <c r="E183" s="4" t="str">
        <f t="shared" si="9"/>
        <v>女</v>
      </c>
    </row>
    <row r="184" customHeight="1" spans="1:5">
      <c r="A184" s="4">
        <v>182</v>
      </c>
      <c r="B184" s="4" t="str">
        <f>"431720220808103636234665"</f>
        <v>431720220808103636234665</v>
      </c>
      <c r="C184" s="5" t="s">
        <v>6</v>
      </c>
      <c r="D184" s="4" t="str">
        <f>"刘秀萍"</f>
        <v>刘秀萍</v>
      </c>
      <c r="E184" s="4" t="str">
        <f t="shared" si="9"/>
        <v>女</v>
      </c>
    </row>
    <row r="185" customHeight="1" spans="1:5">
      <c r="A185" s="4">
        <v>183</v>
      </c>
      <c r="B185" s="4" t="str">
        <f>"431720220808104310234715"</f>
        <v>431720220808104310234715</v>
      </c>
      <c r="C185" s="5" t="s">
        <v>6</v>
      </c>
      <c r="D185" s="4" t="str">
        <f>"郭文婷"</f>
        <v>郭文婷</v>
      </c>
      <c r="E185" s="4" t="str">
        <f t="shared" si="9"/>
        <v>女</v>
      </c>
    </row>
    <row r="186" customHeight="1" spans="1:5">
      <c r="A186" s="4">
        <v>184</v>
      </c>
      <c r="B186" s="4" t="str">
        <f>"431720220808112323234915"</f>
        <v>431720220808112323234915</v>
      </c>
      <c r="C186" s="5" t="s">
        <v>6</v>
      </c>
      <c r="D186" s="4" t="str">
        <f>"魏丽婷"</f>
        <v>魏丽婷</v>
      </c>
      <c r="E186" s="4" t="str">
        <f t="shared" si="9"/>
        <v>女</v>
      </c>
    </row>
    <row r="187" customHeight="1" spans="1:5">
      <c r="A187" s="4">
        <v>185</v>
      </c>
      <c r="B187" s="4" t="str">
        <f>"431720220808120531235081"</f>
        <v>431720220808120531235081</v>
      </c>
      <c r="C187" s="5" t="s">
        <v>6</v>
      </c>
      <c r="D187" s="4" t="str">
        <f>"容鸿珊"</f>
        <v>容鸿珊</v>
      </c>
      <c r="E187" s="4" t="str">
        <f t="shared" si="9"/>
        <v>女</v>
      </c>
    </row>
    <row r="188" customHeight="1" spans="1:5">
      <c r="A188" s="4">
        <v>186</v>
      </c>
      <c r="B188" s="4" t="str">
        <f>"431720220808122900235169"</f>
        <v>431720220808122900235169</v>
      </c>
      <c r="C188" s="5" t="s">
        <v>6</v>
      </c>
      <c r="D188" s="4" t="str">
        <f>"彭舒凤"</f>
        <v>彭舒凤</v>
      </c>
      <c r="E188" s="4" t="str">
        <f t="shared" si="9"/>
        <v>女</v>
      </c>
    </row>
    <row r="189" customHeight="1" spans="1:5">
      <c r="A189" s="4">
        <v>187</v>
      </c>
      <c r="B189" s="4" t="str">
        <f>"431720220808132909235369"</f>
        <v>431720220808132909235369</v>
      </c>
      <c r="C189" s="5" t="s">
        <v>6</v>
      </c>
      <c r="D189" s="4" t="str">
        <f>"王丽梅"</f>
        <v>王丽梅</v>
      </c>
      <c r="E189" s="4" t="str">
        <f t="shared" si="9"/>
        <v>女</v>
      </c>
    </row>
    <row r="190" customHeight="1" spans="1:5">
      <c r="A190" s="4">
        <v>188</v>
      </c>
      <c r="B190" s="4" t="str">
        <f>"431720220808134842235405"</f>
        <v>431720220808134842235405</v>
      </c>
      <c r="C190" s="5" t="s">
        <v>6</v>
      </c>
      <c r="D190" s="4" t="str">
        <f>"张鑫"</f>
        <v>张鑫</v>
      </c>
      <c r="E190" s="4" t="str">
        <f>"男"</f>
        <v>男</v>
      </c>
    </row>
    <row r="191" customHeight="1" spans="1:5">
      <c r="A191" s="4">
        <v>189</v>
      </c>
      <c r="B191" s="4" t="str">
        <f>"431720220808142000235471"</f>
        <v>431720220808142000235471</v>
      </c>
      <c r="C191" s="5" t="s">
        <v>6</v>
      </c>
      <c r="D191" s="4" t="str">
        <f>"吴丁佳"</f>
        <v>吴丁佳</v>
      </c>
      <c r="E191" s="4" t="str">
        <f t="shared" ref="E191:E198" si="10">"女"</f>
        <v>女</v>
      </c>
    </row>
    <row r="192" customHeight="1" spans="1:5">
      <c r="A192" s="4">
        <v>190</v>
      </c>
      <c r="B192" s="4" t="str">
        <f>"431720220808145110235564"</f>
        <v>431720220808145110235564</v>
      </c>
      <c r="C192" s="5" t="s">
        <v>6</v>
      </c>
      <c r="D192" s="4" t="str">
        <f>"黄诗婷"</f>
        <v>黄诗婷</v>
      </c>
      <c r="E192" s="4" t="str">
        <f t="shared" si="10"/>
        <v>女</v>
      </c>
    </row>
    <row r="193" customHeight="1" spans="1:5">
      <c r="A193" s="4">
        <v>191</v>
      </c>
      <c r="B193" s="4" t="str">
        <f>"431720220808152903235703"</f>
        <v>431720220808152903235703</v>
      </c>
      <c r="C193" s="5" t="s">
        <v>6</v>
      </c>
      <c r="D193" s="4" t="str">
        <f>"王丽"</f>
        <v>王丽</v>
      </c>
      <c r="E193" s="4" t="str">
        <f t="shared" si="10"/>
        <v>女</v>
      </c>
    </row>
    <row r="194" customHeight="1" spans="1:5">
      <c r="A194" s="4">
        <v>192</v>
      </c>
      <c r="B194" s="4" t="str">
        <f>"431720220808160636235824"</f>
        <v>431720220808160636235824</v>
      </c>
      <c r="C194" s="5" t="s">
        <v>6</v>
      </c>
      <c r="D194" s="4" t="str">
        <f>"符方蕊"</f>
        <v>符方蕊</v>
      </c>
      <c r="E194" s="4" t="str">
        <f t="shared" si="10"/>
        <v>女</v>
      </c>
    </row>
    <row r="195" customHeight="1" spans="1:5">
      <c r="A195" s="4">
        <v>193</v>
      </c>
      <c r="B195" s="4" t="str">
        <f>"431720220808163111235900"</f>
        <v>431720220808163111235900</v>
      </c>
      <c r="C195" s="5" t="s">
        <v>6</v>
      </c>
      <c r="D195" s="4" t="str">
        <f>"文方婷"</f>
        <v>文方婷</v>
      </c>
      <c r="E195" s="4" t="str">
        <f t="shared" si="10"/>
        <v>女</v>
      </c>
    </row>
    <row r="196" customHeight="1" spans="1:5">
      <c r="A196" s="4">
        <v>194</v>
      </c>
      <c r="B196" s="4" t="str">
        <f>"431720220808163412235911"</f>
        <v>431720220808163412235911</v>
      </c>
      <c r="C196" s="5" t="s">
        <v>6</v>
      </c>
      <c r="D196" s="4" t="str">
        <f>"何萃婷"</f>
        <v>何萃婷</v>
      </c>
      <c r="E196" s="4" t="str">
        <f t="shared" si="10"/>
        <v>女</v>
      </c>
    </row>
    <row r="197" customHeight="1" spans="1:5">
      <c r="A197" s="4">
        <v>195</v>
      </c>
      <c r="B197" s="4" t="str">
        <f>"431720220808165147235965"</f>
        <v>431720220808165147235965</v>
      </c>
      <c r="C197" s="5" t="s">
        <v>6</v>
      </c>
      <c r="D197" s="4" t="str">
        <f>"许腾尹"</f>
        <v>许腾尹</v>
      </c>
      <c r="E197" s="4" t="str">
        <f t="shared" si="10"/>
        <v>女</v>
      </c>
    </row>
    <row r="198" customHeight="1" spans="1:5">
      <c r="A198" s="4">
        <v>196</v>
      </c>
      <c r="B198" s="4" t="str">
        <f>"431720220808171144236040"</f>
        <v>431720220808171144236040</v>
      </c>
      <c r="C198" s="5" t="s">
        <v>6</v>
      </c>
      <c r="D198" s="4" t="str">
        <f>"黎学霁"</f>
        <v>黎学霁</v>
      </c>
      <c r="E198" s="4" t="str">
        <f t="shared" si="10"/>
        <v>女</v>
      </c>
    </row>
    <row r="199" customHeight="1" spans="1:5">
      <c r="A199" s="4">
        <v>197</v>
      </c>
      <c r="B199" s="4" t="str">
        <f>"431720220808172435236080"</f>
        <v>431720220808172435236080</v>
      </c>
      <c r="C199" s="5" t="s">
        <v>6</v>
      </c>
      <c r="D199" s="4" t="str">
        <f>"洪香平"</f>
        <v>洪香平</v>
      </c>
      <c r="E199" s="4" t="str">
        <f>"男"</f>
        <v>男</v>
      </c>
    </row>
    <row r="200" customHeight="1" spans="1:5">
      <c r="A200" s="4">
        <v>198</v>
      </c>
      <c r="B200" s="4" t="str">
        <f>"431720220808173111236105"</f>
        <v>431720220808173111236105</v>
      </c>
      <c r="C200" s="5" t="s">
        <v>6</v>
      </c>
      <c r="D200" s="4" t="str">
        <f>"李秋妹"</f>
        <v>李秋妹</v>
      </c>
      <c r="E200" s="4" t="str">
        <f t="shared" ref="E200:E216" si="11">"女"</f>
        <v>女</v>
      </c>
    </row>
    <row r="201" customHeight="1" spans="1:5">
      <c r="A201" s="4">
        <v>199</v>
      </c>
      <c r="B201" s="4" t="str">
        <f>"431720220808173837236125"</f>
        <v>431720220808173837236125</v>
      </c>
      <c r="C201" s="5" t="s">
        <v>6</v>
      </c>
      <c r="D201" s="4" t="str">
        <f>"邓如环"</f>
        <v>邓如环</v>
      </c>
      <c r="E201" s="4" t="str">
        <f t="shared" si="11"/>
        <v>女</v>
      </c>
    </row>
    <row r="202" customHeight="1" spans="1:5">
      <c r="A202" s="4">
        <v>200</v>
      </c>
      <c r="B202" s="4" t="str">
        <f>"431720220808174738236149"</f>
        <v>431720220808174738236149</v>
      </c>
      <c r="C202" s="5" t="s">
        <v>6</v>
      </c>
      <c r="D202" s="4" t="str">
        <f>"王琼利"</f>
        <v>王琼利</v>
      </c>
      <c r="E202" s="4" t="str">
        <f t="shared" si="11"/>
        <v>女</v>
      </c>
    </row>
    <row r="203" customHeight="1" spans="1:5">
      <c r="A203" s="4">
        <v>201</v>
      </c>
      <c r="B203" s="4" t="str">
        <f>"431720220808182622236241"</f>
        <v>431720220808182622236241</v>
      </c>
      <c r="C203" s="5" t="s">
        <v>6</v>
      </c>
      <c r="D203" s="4" t="str">
        <f>"王和欣"</f>
        <v>王和欣</v>
      </c>
      <c r="E203" s="4" t="str">
        <f t="shared" si="11"/>
        <v>女</v>
      </c>
    </row>
    <row r="204" customHeight="1" spans="1:5">
      <c r="A204" s="4">
        <v>202</v>
      </c>
      <c r="B204" s="4" t="str">
        <f>"431720220808182938236248"</f>
        <v>431720220808182938236248</v>
      </c>
      <c r="C204" s="5" t="s">
        <v>6</v>
      </c>
      <c r="D204" s="4" t="str">
        <f>"黄琴瑛"</f>
        <v>黄琴瑛</v>
      </c>
      <c r="E204" s="4" t="str">
        <f t="shared" si="11"/>
        <v>女</v>
      </c>
    </row>
    <row r="205" customHeight="1" spans="1:5">
      <c r="A205" s="4">
        <v>203</v>
      </c>
      <c r="B205" s="4" t="str">
        <f>"431720220808184039236274"</f>
        <v>431720220808184039236274</v>
      </c>
      <c r="C205" s="5" t="s">
        <v>6</v>
      </c>
      <c r="D205" s="4" t="str">
        <f>"冯少敏"</f>
        <v>冯少敏</v>
      </c>
      <c r="E205" s="4" t="str">
        <f t="shared" si="11"/>
        <v>女</v>
      </c>
    </row>
    <row r="206" customHeight="1" spans="1:5">
      <c r="A206" s="4">
        <v>204</v>
      </c>
      <c r="B206" s="4" t="str">
        <f>"431720220808185226236304"</f>
        <v>431720220808185226236304</v>
      </c>
      <c r="C206" s="5" t="s">
        <v>6</v>
      </c>
      <c r="D206" s="4" t="str">
        <f>"符人丽"</f>
        <v>符人丽</v>
      </c>
      <c r="E206" s="4" t="str">
        <f t="shared" si="11"/>
        <v>女</v>
      </c>
    </row>
    <row r="207" customHeight="1" spans="1:5">
      <c r="A207" s="4">
        <v>205</v>
      </c>
      <c r="B207" s="4" t="str">
        <f>"431720220808185254236306"</f>
        <v>431720220808185254236306</v>
      </c>
      <c r="C207" s="5" t="s">
        <v>6</v>
      </c>
      <c r="D207" s="4" t="str">
        <f>"何理培"</f>
        <v>何理培</v>
      </c>
      <c r="E207" s="4" t="str">
        <f t="shared" si="11"/>
        <v>女</v>
      </c>
    </row>
    <row r="208" customHeight="1" spans="1:5">
      <c r="A208" s="4">
        <v>206</v>
      </c>
      <c r="B208" s="4" t="str">
        <f>"431720220808191639236368"</f>
        <v>431720220808191639236368</v>
      </c>
      <c r="C208" s="5" t="s">
        <v>6</v>
      </c>
      <c r="D208" s="4" t="str">
        <f>"王晓菊"</f>
        <v>王晓菊</v>
      </c>
      <c r="E208" s="4" t="str">
        <f t="shared" si="11"/>
        <v>女</v>
      </c>
    </row>
    <row r="209" customHeight="1" spans="1:5">
      <c r="A209" s="4">
        <v>207</v>
      </c>
      <c r="B209" s="4" t="str">
        <f>"431720220808195526236457"</f>
        <v>431720220808195526236457</v>
      </c>
      <c r="C209" s="5" t="s">
        <v>6</v>
      </c>
      <c r="D209" s="4" t="str">
        <f>"李秀艾"</f>
        <v>李秀艾</v>
      </c>
      <c r="E209" s="4" t="str">
        <f t="shared" si="11"/>
        <v>女</v>
      </c>
    </row>
    <row r="210" customHeight="1" spans="1:5">
      <c r="A210" s="4">
        <v>208</v>
      </c>
      <c r="B210" s="4" t="str">
        <f>"431720220808201831236518"</f>
        <v>431720220808201831236518</v>
      </c>
      <c r="C210" s="5" t="s">
        <v>6</v>
      </c>
      <c r="D210" s="4" t="str">
        <f>"陈嫔韵"</f>
        <v>陈嫔韵</v>
      </c>
      <c r="E210" s="4" t="str">
        <f t="shared" si="11"/>
        <v>女</v>
      </c>
    </row>
    <row r="211" customHeight="1" spans="1:5">
      <c r="A211" s="4">
        <v>209</v>
      </c>
      <c r="B211" s="4" t="str">
        <f>"431720220808203213236553"</f>
        <v>431720220808203213236553</v>
      </c>
      <c r="C211" s="5" t="s">
        <v>6</v>
      </c>
      <c r="D211" s="4" t="str">
        <f>"彭靖懿"</f>
        <v>彭靖懿</v>
      </c>
      <c r="E211" s="4" t="str">
        <f t="shared" si="11"/>
        <v>女</v>
      </c>
    </row>
    <row r="212" customHeight="1" spans="1:5">
      <c r="A212" s="4">
        <v>210</v>
      </c>
      <c r="B212" s="4" t="str">
        <f>"431720220808204649236591"</f>
        <v>431720220808204649236591</v>
      </c>
      <c r="C212" s="5" t="s">
        <v>6</v>
      </c>
      <c r="D212" s="4" t="str">
        <f>"孙玲"</f>
        <v>孙玲</v>
      </c>
      <c r="E212" s="4" t="str">
        <f t="shared" si="11"/>
        <v>女</v>
      </c>
    </row>
    <row r="213" customHeight="1" spans="1:5">
      <c r="A213" s="4">
        <v>211</v>
      </c>
      <c r="B213" s="4" t="str">
        <f>"431720220808212706236692"</f>
        <v>431720220808212706236692</v>
      </c>
      <c r="C213" s="5" t="s">
        <v>6</v>
      </c>
      <c r="D213" s="4" t="str">
        <f>"黄婉月"</f>
        <v>黄婉月</v>
      </c>
      <c r="E213" s="4" t="str">
        <f t="shared" si="11"/>
        <v>女</v>
      </c>
    </row>
    <row r="214" customHeight="1" spans="1:5">
      <c r="A214" s="4">
        <v>212</v>
      </c>
      <c r="B214" s="4" t="str">
        <f>"431720220808213511236707"</f>
        <v>431720220808213511236707</v>
      </c>
      <c r="C214" s="5" t="s">
        <v>6</v>
      </c>
      <c r="D214" s="4" t="str">
        <f>"王利琴"</f>
        <v>王利琴</v>
      </c>
      <c r="E214" s="4" t="str">
        <f t="shared" si="11"/>
        <v>女</v>
      </c>
    </row>
    <row r="215" customHeight="1" spans="1:5">
      <c r="A215" s="4">
        <v>213</v>
      </c>
      <c r="B215" s="4" t="str">
        <f>"431720220808213541236708"</f>
        <v>431720220808213541236708</v>
      </c>
      <c r="C215" s="5" t="s">
        <v>6</v>
      </c>
      <c r="D215" s="4" t="str">
        <f>"苏茹"</f>
        <v>苏茹</v>
      </c>
      <c r="E215" s="4" t="str">
        <f t="shared" si="11"/>
        <v>女</v>
      </c>
    </row>
    <row r="216" customHeight="1" spans="1:5">
      <c r="A216" s="4">
        <v>214</v>
      </c>
      <c r="B216" s="4" t="str">
        <f>"431720220808213919236719"</f>
        <v>431720220808213919236719</v>
      </c>
      <c r="C216" s="5" t="s">
        <v>6</v>
      </c>
      <c r="D216" s="4" t="str">
        <f>"羊仙爱"</f>
        <v>羊仙爱</v>
      </c>
      <c r="E216" s="4" t="str">
        <f t="shared" si="11"/>
        <v>女</v>
      </c>
    </row>
    <row r="217" customHeight="1" spans="1:5">
      <c r="A217" s="4">
        <v>215</v>
      </c>
      <c r="B217" s="4" t="str">
        <f>"431720220808214303236729"</f>
        <v>431720220808214303236729</v>
      </c>
      <c r="C217" s="5" t="s">
        <v>6</v>
      </c>
      <c r="D217" s="4" t="str">
        <f>"梁其腾"</f>
        <v>梁其腾</v>
      </c>
      <c r="E217" s="4" t="str">
        <f>"男"</f>
        <v>男</v>
      </c>
    </row>
    <row r="218" customHeight="1" spans="1:5">
      <c r="A218" s="4">
        <v>216</v>
      </c>
      <c r="B218" s="4" t="str">
        <f>"431720220808215217236766"</f>
        <v>431720220808215217236766</v>
      </c>
      <c r="C218" s="5" t="s">
        <v>6</v>
      </c>
      <c r="D218" s="4" t="str">
        <f>"韩嫚"</f>
        <v>韩嫚</v>
      </c>
      <c r="E218" s="4" t="str">
        <f t="shared" ref="E218:E233" si="12">"女"</f>
        <v>女</v>
      </c>
    </row>
    <row r="219" customHeight="1" spans="1:5">
      <c r="A219" s="4">
        <v>217</v>
      </c>
      <c r="B219" s="4" t="str">
        <f>"431720220808215907236779"</f>
        <v>431720220808215907236779</v>
      </c>
      <c r="C219" s="5" t="s">
        <v>6</v>
      </c>
      <c r="D219" s="4" t="str">
        <f>"李宇诚"</f>
        <v>李宇诚</v>
      </c>
      <c r="E219" s="4" t="str">
        <f>"男"</f>
        <v>男</v>
      </c>
    </row>
    <row r="220" customHeight="1" spans="1:5">
      <c r="A220" s="4">
        <v>218</v>
      </c>
      <c r="B220" s="4" t="str">
        <f>"431720220808220856236801"</f>
        <v>431720220808220856236801</v>
      </c>
      <c r="C220" s="5" t="s">
        <v>6</v>
      </c>
      <c r="D220" s="4" t="str">
        <f>"翁凡茜"</f>
        <v>翁凡茜</v>
      </c>
      <c r="E220" s="4" t="str">
        <f t="shared" si="12"/>
        <v>女</v>
      </c>
    </row>
    <row r="221" customHeight="1" spans="1:5">
      <c r="A221" s="4">
        <v>219</v>
      </c>
      <c r="B221" s="4" t="str">
        <f>"431720220808222409236837"</f>
        <v>431720220808222409236837</v>
      </c>
      <c r="C221" s="5" t="s">
        <v>6</v>
      </c>
      <c r="D221" s="4" t="str">
        <f>"莫晓煦"</f>
        <v>莫晓煦</v>
      </c>
      <c r="E221" s="4" t="str">
        <f t="shared" si="12"/>
        <v>女</v>
      </c>
    </row>
    <row r="222" customHeight="1" spans="1:5">
      <c r="A222" s="4">
        <v>220</v>
      </c>
      <c r="B222" s="4" t="str">
        <f>"431720220808223147236848"</f>
        <v>431720220808223147236848</v>
      </c>
      <c r="C222" s="5" t="s">
        <v>6</v>
      </c>
      <c r="D222" s="4" t="str">
        <f>"曾丽芳"</f>
        <v>曾丽芳</v>
      </c>
      <c r="E222" s="4" t="str">
        <f t="shared" si="12"/>
        <v>女</v>
      </c>
    </row>
    <row r="223" customHeight="1" spans="1:5">
      <c r="A223" s="4">
        <v>221</v>
      </c>
      <c r="B223" s="4" t="str">
        <f>"431720220808223414236850"</f>
        <v>431720220808223414236850</v>
      </c>
      <c r="C223" s="5" t="s">
        <v>6</v>
      </c>
      <c r="D223" s="4" t="str">
        <f>"符赵霞"</f>
        <v>符赵霞</v>
      </c>
      <c r="E223" s="4" t="str">
        <f t="shared" si="12"/>
        <v>女</v>
      </c>
    </row>
    <row r="224" customHeight="1" spans="1:5">
      <c r="A224" s="4">
        <v>222</v>
      </c>
      <c r="B224" s="4" t="str">
        <f>"431720220808223702236853"</f>
        <v>431720220808223702236853</v>
      </c>
      <c r="C224" s="5" t="s">
        <v>6</v>
      </c>
      <c r="D224" s="4" t="str">
        <f>"杜云婷"</f>
        <v>杜云婷</v>
      </c>
      <c r="E224" s="4" t="str">
        <f t="shared" si="12"/>
        <v>女</v>
      </c>
    </row>
    <row r="225" customHeight="1" spans="1:5">
      <c r="A225" s="4">
        <v>223</v>
      </c>
      <c r="B225" s="4" t="str">
        <f>"431720220808225426236883"</f>
        <v>431720220808225426236883</v>
      </c>
      <c r="C225" s="5" t="s">
        <v>6</v>
      </c>
      <c r="D225" s="4" t="str">
        <f>"邓秋霞"</f>
        <v>邓秋霞</v>
      </c>
      <c r="E225" s="4" t="str">
        <f t="shared" si="12"/>
        <v>女</v>
      </c>
    </row>
    <row r="226" customHeight="1" spans="1:5">
      <c r="A226" s="4">
        <v>224</v>
      </c>
      <c r="B226" s="4" t="str">
        <f>"431720220808230508236897"</f>
        <v>431720220808230508236897</v>
      </c>
      <c r="C226" s="5" t="s">
        <v>6</v>
      </c>
      <c r="D226" s="4" t="str">
        <f>"苏姜茹"</f>
        <v>苏姜茹</v>
      </c>
      <c r="E226" s="4" t="str">
        <f t="shared" si="12"/>
        <v>女</v>
      </c>
    </row>
    <row r="227" customHeight="1" spans="1:5">
      <c r="A227" s="4">
        <v>225</v>
      </c>
      <c r="B227" s="4" t="str">
        <f>"431720220808230832236900"</f>
        <v>431720220808230832236900</v>
      </c>
      <c r="C227" s="5" t="s">
        <v>6</v>
      </c>
      <c r="D227" s="4" t="str">
        <f>"王怡"</f>
        <v>王怡</v>
      </c>
      <c r="E227" s="4" t="str">
        <f t="shared" si="12"/>
        <v>女</v>
      </c>
    </row>
    <row r="228" customHeight="1" spans="1:5">
      <c r="A228" s="4">
        <v>226</v>
      </c>
      <c r="B228" s="4" t="str">
        <f>"431720220808234417236927"</f>
        <v>431720220808234417236927</v>
      </c>
      <c r="C228" s="5" t="s">
        <v>6</v>
      </c>
      <c r="D228" s="4" t="str">
        <f>"王珑悦"</f>
        <v>王珑悦</v>
      </c>
      <c r="E228" s="4" t="str">
        <f t="shared" si="12"/>
        <v>女</v>
      </c>
    </row>
    <row r="229" customHeight="1" spans="1:5">
      <c r="A229" s="4">
        <v>227</v>
      </c>
      <c r="B229" s="4" t="str">
        <f>"431720220808235949236939"</f>
        <v>431720220808235949236939</v>
      </c>
      <c r="C229" s="5" t="s">
        <v>6</v>
      </c>
      <c r="D229" s="4" t="str">
        <f>"王露"</f>
        <v>王露</v>
      </c>
      <c r="E229" s="4" t="str">
        <f t="shared" si="12"/>
        <v>女</v>
      </c>
    </row>
    <row r="230" customHeight="1" spans="1:5">
      <c r="A230" s="4">
        <v>228</v>
      </c>
      <c r="B230" s="4" t="str">
        <f>"431720220809005313236960"</f>
        <v>431720220809005313236960</v>
      </c>
      <c r="C230" s="5" t="s">
        <v>6</v>
      </c>
      <c r="D230" s="4" t="str">
        <f>"符彤彤"</f>
        <v>符彤彤</v>
      </c>
      <c r="E230" s="4" t="str">
        <f t="shared" si="12"/>
        <v>女</v>
      </c>
    </row>
    <row r="231" customHeight="1" spans="1:5">
      <c r="A231" s="4">
        <v>229</v>
      </c>
      <c r="B231" s="4" t="str">
        <f>"431720220809091454237223"</f>
        <v>431720220809091454237223</v>
      </c>
      <c r="C231" s="5" t="s">
        <v>6</v>
      </c>
      <c r="D231" s="4" t="str">
        <f>"黎家慧"</f>
        <v>黎家慧</v>
      </c>
      <c r="E231" s="4" t="str">
        <f t="shared" si="12"/>
        <v>女</v>
      </c>
    </row>
    <row r="232" customHeight="1" spans="1:5">
      <c r="A232" s="4">
        <v>230</v>
      </c>
      <c r="B232" s="4" t="str">
        <f>"431720220809091521237225"</f>
        <v>431720220809091521237225</v>
      </c>
      <c r="C232" s="5" t="s">
        <v>6</v>
      </c>
      <c r="D232" s="4" t="str">
        <f>"王晓玲"</f>
        <v>王晓玲</v>
      </c>
      <c r="E232" s="4" t="str">
        <f t="shared" si="12"/>
        <v>女</v>
      </c>
    </row>
    <row r="233" customHeight="1" spans="1:5">
      <c r="A233" s="4">
        <v>231</v>
      </c>
      <c r="B233" s="4" t="str">
        <f>"431720220809093046237269"</f>
        <v>431720220809093046237269</v>
      </c>
      <c r="C233" s="5" t="s">
        <v>6</v>
      </c>
      <c r="D233" s="4" t="str">
        <f>"郭小榴"</f>
        <v>郭小榴</v>
      </c>
      <c r="E233" s="4" t="str">
        <f t="shared" si="12"/>
        <v>女</v>
      </c>
    </row>
    <row r="234" customHeight="1" spans="1:5">
      <c r="A234" s="4">
        <v>232</v>
      </c>
      <c r="B234" s="4" t="str">
        <f>"431720220809094629237323"</f>
        <v>431720220809094629237323</v>
      </c>
      <c r="C234" s="5" t="s">
        <v>6</v>
      </c>
      <c r="D234" s="4" t="str">
        <f>"兰王"</f>
        <v>兰王</v>
      </c>
      <c r="E234" s="4" t="str">
        <f>"男"</f>
        <v>男</v>
      </c>
    </row>
    <row r="235" customHeight="1" spans="1:5">
      <c r="A235" s="4">
        <v>233</v>
      </c>
      <c r="B235" s="4" t="str">
        <f>"431720220809110100237569"</f>
        <v>431720220809110100237569</v>
      </c>
      <c r="C235" s="5" t="s">
        <v>6</v>
      </c>
      <c r="D235" s="4" t="str">
        <f>"陈新"</f>
        <v>陈新</v>
      </c>
      <c r="E235" s="4" t="str">
        <f t="shared" ref="E235:E239" si="13">"女"</f>
        <v>女</v>
      </c>
    </row>
    <row r="236" customHeight="1" spans="1:5">
      <c r="A236" s="4">
        <v>234</v>
      </c>
      <c r="B236" s="4" t="str">
        <f>"431720220809111936237623"</f>
        <v>431720220809111936237623</v>
      </c>
      <c r="C236" s="5" t="s">
        <v>6</v>
      </c>
      <c r="D236" s="4" t="str">
        <f>"吴燕南"</f>
        <v>吴燕南</v>
      </c>
      <c r="E236" s="4" t="str">
        <f t="shared" si="13"/>
        <v>女</v>
      </c>
    </row>
    <row r="237" customHeight="1" spans="1:5">
      <c r="A237" s="4">
        <v>235</v>
      </c>
      <c r="B237" s="4" t="str">
        <f>"431720220809122951237782"</f>
        <v>431720220809122951237782</v>
      </c>
      <c r="C237" s="5" t="s">
        <v>6</v>
      </c>
      <c r="D237" s="4" t="str">
        <f>"吴泳莉"</f>
        <v>吴泳莉</v>
      </c>
      <c r="E237" s="4" t="str">
        <f t="shared" si="13"/>
        <v>女</v>
      </c>
    </row>
    <row r="238" customHeight="1" spans="1:5">
      <c r="A238" s="4">
        <v>236</v>
      </c>
      <c r="B238" s="4" t="str">
        <f>"431720220809125342237860"</f>
        <v>431720220809125342237860</v>
      </c>
      <c r="C238" s="5" t="s">
        <v>6</v>
      </c>
      <c r="D238" s="4" t="str">
        <f>"朱美妃"</f>
        <v>朱美妃</v>
      </c>
      <c r="E238" s="4" t="str">
        <f t="shared" si="13"/>
        <v>女</v>
      </c>
    </row>
    <row r="239" customHeight="1" spans="1:5">
      <c r="A239" s="4">
        <v>237</v>
      </c>
      <c r="B239" s="4" t="str">
        <f>"431720220809131421237915"</f>
        <v>431720220809131421237915</v>
      </c>
      <c r="C239" s="5" t="s">
        <v>6</v>
      </c>
      <c r="D239" s="4" t="str">
        <f>"王芯颖"</f>
        <v>王芯颖</v>
      </c>
      <c r="E239" s="4" t="str">
        <f t="shared" si="13"/>
        <v>女</v>
      </c>
    </row>
    <row r="240" customHeight="1" spans="1:5">
      <c r="A240" s="4">
        <v>238</v>
      </c>
      <c r="B240" s="4" t="str">
        <f>"431720220809154312238214"</f>
        <v>431720220809154312238214</v>
      </c>
      <c r="C240" s="5" t="s">
        <v>6</v>
      </c>
      <c r="D240" s="4" t="str">
        <f>"王义平"</f>
        <v>王义平</v>
      </c>
      <c r="E240" s="4" t="str">
        <f>"男"</f>
        <v>男</v>
      </c>
    </row>
    <row r="241" customHeight="1" spans="1:5">
      <c r="A241" s="4">
        <v>239</v>
      </c>
      <c r="B241" s="4" t="str">
        <f>"431720220809160455238276"</f>
        <v>431720220809160455238276</v>
      </c>
      <c r="C241" s="5" t="s">
        <v>6</v>
      </c>
      <c r="D241" s="4" t="str">
        <f>"梁珊萍"</f>
        <v>梁珊萍</v>
      </c>
      <c r="E241" s="4" t="str">
        <f t="shared" ref="E241:E260" si="14">"女"</f>
        <v>女</v>
      </c>
    </row>
    <row r="242" customHeight="1" spans="1:5">
      <c r="A242" s="4">
        <v>240</v>
      </c>
      <c r="B242" s="4" t="str">
        <f>"431720220809160457238277"</f>
        <v>431720220809160457238277</v>
      </c>
      <c r="C242" s="5" t="s">
        <v>6</v>
      </c>
      <c r="D242" s="4" t="str">
        <f>"唐富芬"</f>
        <v>唐富芬</v>
      </c>
      <c r="E242" s="4" t="str">
        <f t="shared" si="14"/>
        <v>女</v>
      </c>
    </row>
    <row r="243" customHeight="1" spans="1:5">
      <c r="A243" s="4">
        <v>241</v>
      </c>
      <c r="B243" s="4" t="str">
        <f>"431720220809162359238331"</f>
        <v>431720220809162359238331</v>
      </c>
      <c r="C243" s="5" t="s">
        <v>6</v>
      </c>
      <c r="D243" s="4" t="str">
        <f>"王涵淇"</f>
        <v>王涵淇</v>
      </c>
      <c r="E243" s="4" t="str">
        <f t="shared" si="14"/>
        <v>女</v>
      </c>
    </row>
    <row r="244" customHeight="1" spans="1:5">
      <c r="A244" s="4">
        <v>242</v>
      </c>
      <c r="B244" s="4" t="str">
        <f>"431720220809164401238378"</f>
        <v>431720220809164401238378</v>
      </c>
      <c r="C244" s="5" t="s">
        <v>6</v>
      </c>
      <c r="D244" s="4" t="str">
        <f>"林欣"</f>
        <v>林欣</v>
      </c>
      <c r="E244" s="4" t="str">
        <f t="shared" si="14"/>
        <v>女</v>
      </c>
    </row>
    <row r="245" customHeight="1" spans="1:5">
      <c r="A245" s="4">
        <v>243</v>
      </c>
      <c r="B245" s="4" t="str">
        <f>"431720220809164542238382"</f>
        <v>431720220809164542238382</v>
      </c>
      <c r="C245" s="5" t="s">
        <v>6</v>
      </c>
      <c r="D245" s="4" t="str">
        <f>"陈海虹"</f>
        <v>陈海虹</v>
      </c>
      <c r="E245" s="4" t="str">
        <f t="shared" si="14"/>
        <v>女</v>
      </c>
    </row>
    <row r="246" customHeight="1" spans="1:5">
      <c r="A246" s="4">
        <v>244</v>
      </c>
      <c r="B246" s="4" t="str">
        <f>"431720220809165356238404"</f>
        <v>431720220809165356238404</v>
      </c>
      <c r="C246" s="5" t="s">
        <v>6</v>
      </c>
      <c r="D246" s="4" t="str">
        <f>"陈晓倪"</f>
        <v>陈晓倪</v>
      </c>
      <c r="E246" s="4" t="str">
        <f t="shared" si="14"/>
        <v>女</v>
      </c>
    </row>
    <row r="247" customHeight="1" spans="1:5">
      <c r="A247" s="4">
        <v>245</v>
      </c>
      <c r="B247" s="4" t="str">
        <f>"431720220809172102238460"</f>
        <v>431720220809172102238460</v>
      </c>
      <c r="C247" s="5" t="s">
        <v>6</v>
      </c>
      <c r="D247" s="4" t="str">
        <f>"卢晶晶"</f>
        <v>卢晶晶</v>
      </c>
      <c r="E247" s="4" t="str">
        <f t="shared" si="14"/>
        <v>女</v>
      </c>
    </row>
    <row r="248" customHeight="1" spans="1:5">
      <c r="A248" s="4">
        <v>246</v>
      </c>
      <c r="B248" s="4" t="str">
        <f>"431720220809174549238493"</f>
        <v>431720220809174549238493</v>
      </c>
      <c r="C248" s="5" t="s">
        <v>6</v>
      </c>
      <c r="D248" s="4" t="str">
        <f>"邢晓颖"</f>
        <v>邢晓颖</v>
      </c>
      <c r="E248" s="4" t="str">
        <f t="shared" si="14"/>
        <v>女</v>
      </c>
    </row>
    <row r="249" customHeight="1" spans="1:5">
      <c r="A249" s="4">
        <v>247</v>
      </c>
      <c r="B249" s="4" t="str">
        <f>"431720220809175502238510"</f>
        <v>431720220809175502238510</v>
      </c>
      <c r="C249" s="5" t="s">
        <v>6</v>
      </c>
      <c r="D249" s="4" t="str">
        <f>"陈朝霞"</f>
        <v>陈朝霞</v>
      </c>
      <c r="E249" s="4" t="str">
        <f t="shared" si="14"/>
        <v>女</v>
      </c>
    </row>
    <row r="250" customHeight="1" spans="1:5">
      <c r="A250" s="4">
        <v>248</v>
      </c>
      <c r="B250" s="4" t="str">
        <f>"431720220809183018238579"</f>
        <v>431720220809183018238579</v>
      </c>
      <c r="C250" s="5" t="s">
        <v>6</v>
      </c>
      <c r="D250" s="4" t="str">
        <f>"杨依妮"</f>
        <v>杨依妮</v>
      </c>
      <c r="E250" s="4" t="str">
        <f t="shared" si="14"/>
        <v>女</v>
      </c>
    </row>
    <row r="251" customHeight="1" spans="1:5">
      <c r="A251" s="4">
        <v>249</v>
      </c>
      <c r="B251" s="4" t="str">
        <f>"431720220809183517238585"</f>
        <v>431720220809183517238585</v>
      </c>
      <c r="C251" s="5" t="s">
        <v>6</v>
      </c>
      <c r="D251" s="4" t="str">
        <f>"符鹏悦"</f>
        <v>符鹏悦</v>
      </c>
      <c r="E251" s="4" t="str">
        <f t="shared" si="14"/>
        <v>女</v>
      </c>
    </row>
    <row r="252" customHeight="1" spans="1:5">
      <c r="A252" s="4">
        <v>250</v>
      </c>
      <c r="B252" s="4" t="str">
        <f>"431720220809190655238634"</f>
        <v>431720220809190655238634</v>
      </c>
      <c r="C252" s="5" t="s">
        <v>6</v>
      </c>
      <c r="D252" s="4" t="str">
        <f>"罗星"</f>
        <v>罗星</v>
      </c>
      <c r="E252" s="4" t="str">
        <f t="shared" si="14"/>
        <v>女</v>
      </c>
    </row>
    <row r="253" customHeight="1" spans="1:5">
      <c r="A253" s="4">
        <v>251</v>
      </c>
      <c r="B253" s="4" t="str">
        <f>"431720220809192840238669"</f>
        <v>431720220809192840238669</v>
      </c>
      <c r="C253" s="5" t="s">
        <v>6</v>
      </c>
      <c r="D253" s="4" t="str">
        <f>"李梦漪"</f>
        <v>李梦漪</v>
      </c>
      <c r="E253" s="4" t="str">
        <f t="shared" si="14"/>
        <v>女</v>
      </c>
    </row>
    <row r="254" customHeight="1" spans="1:5">
      <c r="A254" s="4">
        <v>252</v>
      </c>
      <c r="B254" s="4" t="str">
        <f>"431720220809195037238706"</f>
        <v>431720220809195037238706</v>
      </c>
      <c r="C254" s="5" t="s">
        <v>6</v>
      </c>
      <c r="D254" s="4" t="str">
        <f>"唐传婷"</f>
        <v>唐传婷</v>
      </c>
      <c r="E254" s="4" t="str">
        <f t="shared" si="14"/>
        <v>女</v>
      </c>
    </row>
    <row r="255" customHeight="1" spans="1:5">
      <c r="A255" s="4">
        <v>253</v>
      </c>
      <c r="B255" s="4" t="str">
        <f>"431720220809202802238795"</f>
        <v>431720220809202802238795</v>
      </c>
      <c r="C255" s="5" t="s">
        <v>6</v>
      </c>
      <c r="D255" s="4" t="str">
        <f>"何一秋"</f>
        <v>何一秋</v>
      </c>
      <c r="E255" s="4" t="str">
        <f t="shared" si="14"/>
        <v>女</v>
      </c>
    </row>
    <row r="256" customHeight="1" spans="1:5">
      <c r="A256" s="4">
        <v>254</v>
      </c>
      <c r="B256" s="4" t="str">
        <f>"431720220809205644238846"</f>
        <v>431720220809205644238846</v>
      </c>
      <c r="C256" s="5" t="s">
        <v>6</v>
      </c>
      <c r="D256" s="4" t="str">
        <f>"马丁赫懿"</f>
        <v>马丁赫懿</v>
      </c>
      <c r="E256" s="4" t="str">
        <f t="shared" si="14"/>
        <v>女</v>
      </c>
    </row>
    <row r="257" customHeight="1" spans="1:5">
      <c r="A257" s="4">
        <v>255</v>
      </c>
      <c r="B257" s="4" t="str">
        <f>"431720220809215852238980"</f>
        <v>431720220809215852238980</v>
      </c>
      <c r="C257" s="5" t="s">
        <v>6</v>
      </c>
      <c r="D257" s="4" t="str">
        <f>"林羚"</f>
        <v>林羚</v>
      </c>
      <c r="E257" s="4" t="str">
        <f t="shared" si="14"/>
        <v>女</v>
      </c>
    </row>
    <row r="258" customHeight="1" spans="1:5">
      <c r="A258" s="4">
        <v>256</v>
      </c>
      <c r="B258" s="4" t="str">
        <f>"431720220809221307239017"</f>
        <v>431720220809221307239017</v>
      </c>
      <c r="C258" s="5" t="s">
        <v>6</v>
      </c>
      <c r="D258" s="4" t="str">
        <f>"钱海琼"</f>
        <v>钱海琼</v>
      </c>
      <c r="E258" s="4" t="str">
        <f t="shared" si="14"/>
        <v>女</v>
      </c>
    </row>
    <row r="259" customHeight="1" spans="1:5">
      <c r="A259" s="4">
        <v>257</v>
      </c>
      <c r="B259" s="4" t="str">
        <f>"431720220809222229239036"</f>
        <v>431720220809222229239036</v>
      </c>
      <c r="C259" s="5" t="s">
        <v>6</v>
      </c>
      <c r="D259" s="4" t="str">
        <f>"吴微微"</f>
        <v>吴微微</v>
      </c>
      <c r="E259" s="4" t="str">
        <f t="shared" si="14"/>
        <v>女</v>
      </c>
    </row>
    <row r="260" customHeight="1" spans="1:5">
      <c r="A260" s="4">
        <v>258</v>
      </c>
      <c r="B260" s="4" t="str">
        <f>"431720220809225536239092"</f>
        <v>431720220809225536239092</v>
      </c>
      <c r="C260" s="5" t="s">
        <v>6</v>
      </c>
      <c r="D260" s="4" t="str">
        <f>"符明金"</f>
        <v>符明金</v>
      </c>
      <c r="E260" s="4" t="str">
        <f t="shared" si="14"/>
        <v>女</v>
      </c>
    </row>
    <row r="261" customHeight="1" spans="1:5">
      <c r="A261" s="4">
        <v>259</v>
      </c>
      <c r="B261" s="4" t="str">
        <f>"431720220810084726239358"</f>
        <v>431720220810084726239358</v>
      </c>
      <c r="C261" s="5" t="s">
        <v>6</v>
      </c>
      <c r="D261" s="4" t="str">
        <f>"李茂运"</f>
        <v>李茂运</v>
      </c>
      <c r="E261" s="4" t="str">
        <f>"男"</f>
        <v>男</v>
      </c>
    </row>
    <row r="262" customHeight="1" spans="1:5">
      <c r="A262" s="4">
        <v>260</v>
      </c>
      <c r="B262" s="4" t="str">
        <f>"431720220810085513239373"</f>
        <v>431720220810085513239373</v>
      </c>
      <c r="C262" s="5" t="s">
        <v>6</v>
      </c>
      <c r="D262" s="4" t="str">
        <f>"邓婉靖"</f>
        <v>邓婉靖</v>
      </c>
      <c r="E262" s="4" t="str">
        <f t="shared" ref="E262:E268" si="15">"女"</f>
        <v>女</v>
      </c>
    </row>
    <row r="263" customHeight="1" spans="1:5">
      <c r="A263" s="4">
        <v>261</v>
      </c>
      <c r="B263" s="4" t="str">
        <f>"431720220810090643239412"</f>
        <v>431720220810090643239412</v>
      </c>
      <c r="C263" s="5" t="s">
        <v>6</v>
      </c>
      <c r="D263" s="4" t="str">
        <f>"莫海媛"</f>
        <v>莫海媛</v>
      </c>
      <c r="E263" s="4" t="str">
        <f t="shared" si="15"/>
        <v>女</v>
      </c>
    </row>
    <row r="264" customHeight="1" spans="1:5">
      <c r="A264" s="4">
        <v>262</v>
      </c>
      <c r="B264" s="4" t="str">
        <f>"431720220810092636239496"</f>
        <v>431720220810092636239496</v>
      </c>
      <c r="C264" s="5" t="s">
        <v>6</v>
      </c>
      <c r="D264" s="4" t="str">
        <f>"吴文君"</f>
        <v>吴文君</v>
      </c>
      <c r="E264" s="4" t="str">
        <f t="shared" si="15"/>
        <v>女</v>
      </c>
    </row>
    <row r="265" customHeight="1" spans="1:5">
      <c r="A265" s="4">
        <v>263</v>
      </c>
      <c r="B265" s="4" t="str">
        <f>"431720220810093657239532"</f>
        <v>431720220810093657239532</v>
      </c>
      <c r="C265" s="5" t="s">
        <v>6</v>
      </c>
      <c r="D265" s="4" t="str">
        <f>"蔡雪薇"</f>
        <v>蔡雪薇</v>
      </c>
      <c r="E265" s="4" t="str">
        <f t="shared" si="15"/>
        <v>女</v>
      </c>
    </row>
    <row r="266" customHeight="1" spans="1:5">
      <c r="A266" s="4">
        <v>264</v>
      </c>
      <c r="B266" s="4" t="str">
        <f>"431720220810094920239583"</f>
        <v>431720220810094920239583</v>
      </c>
      <c r="C266" s="5" t="s">
        <v>6</v>
      </c>
      <c r="D266" s="4" t="str">
        <f>"林珍"</f>
        <v>林珍</v>
      </c>
      <c r="E266" s="4" t="str">
        <f t="shared" si="15"/>
        <v>女</v>
      </c>
    </row>
    <row r="267" customHeight="1" spans="1:5">
      <c r="A267" s="4">
        <v>265</v>
      </c>
      <c r="B267" s="4" t="str">
        <f>"431720220810095708239618"</f>
        <v>431720220810095708239618</v>
      </c>
      <c r="C267" s="5" t="s">
        <v>6</v>
      </c>
      <c r="D267" s="4" t="str">
        <f>"黄欣欣"</f>
        <v>黄欣欣</v>
      </c>
      <c r="E267" s="4" t="str">
        <f t="shared" si="15"/>
        <v>女</v>
      </c>
    </row>
    <row r="268" customHeight="1" spans="1:5">
      <c r="A268" s="4">
        <v>266</v>
      </c>
      <c r="B268" s="4" t="str">
        <f>"431720220810100039239630"</f>
        <v>431720220810100039239630</v>
      </c>
      <c r="C268" s="5" t="s">
        <v>6</v>
      </c>
      <c r="D268" s="4" t="str">
        <f>"王燕娥"</f>
        <v>王燕娥</v>
      </c>
      <c r="E268" s="4" t="str">
        <f t="shared" si="15"/>
        <v>女</v>
      </c>
    </row>
    <row r="269" customHeight="1" spans="1:5">
      <c r="A269" s="4">
        <v>267</v>
      </c>
      <c r="B269" s="4" t="str">
        <f>"431720220810101714239685"</f>
        <v>431720220810101714239685</v>
      </c>
      <c r="C269" s="5" t="s">
        <v>6</v>
      </c>
      <c r="D269" s="4" t="str">
        <f>"王光怀"</f>
        <v>王光怀</v>
      </c>
      <c r="E269" s="4" t="str">
        <f>"男"</f>
        <v>男</v>
      </c>
    </row>
    <row r="270" customHeight="1" spans="1:5">
      <c r="A270" s="4">
        <v>268</v>
      </c>
      <c r="B270" s="4" t="str">
        <f>"431720220810102338239719"</f>
        <v>431720220810102338239719</v>
      </c>
      <c r="C270" s="5" t="s">
        <v>6</v>
      </c>
      <c r="D270" s="4" t="str">
        <f>"王敏敏"</f>
        <v>王敏敏</v>
      </c>
      <c r="E270" s="4" t="str">
        <f t="shared" ref="E270:E283" si="16">"女"</f>
        <v>女</v>
      </c>
    </row>
    <row r="271" customHeight="1" spans="1:5">
      <c r="A271" s="4">
        <v>269</v>
      </c>
      <c r="B271" s="4" t="str">
        <f>"431720220810104634239813"</f>
        <v>431720220810104634239813</v>
      </c>
      <c r="C271" s="5" t="s">
        <v>6</v>
      </c>
      <c r="D271" s="4" t="str">
        <f>"陈玉兰"</f>
        <v>陈玉兰</v>
      </c>
      <c r="E271" s="4" t="str">
        <f t="shared" si="16"/>
        <v>女</v>
      </c>
    </row>
    <row r="272" customHeight="1" spans="1:5">
      <c r="A272" s="4">
        <v>270</v>
      </c>
      <c r="B272" s="4" t="str">
        <f>"431720220810110404239853"</f>
        <v>431720220810110404239853</v>
      </c>
      <c r="C272" s="5" t="s">
        <v>6</v>
      </c>
      <c r="D272" s="4" t="str">
        <f>"陈朝"</f>
        <v>陈朝</v>
      </c>
      <c r="E272" s="4" t="str">
        <f t="shared" si="16"/>
        <v>女</v>
      </c>
    </row>
    <row r="273" customHeight="1" spans="1:5">
      <c r="A273" s="4">
        <v>271</v>
      </c>
      <c r="B273" s="4" t="str">
        <f>"431720220810111602239892"</f>
        <v>431720220810111602239892</v>
      </c>
      <c r="C273" s="5" t="s">
        <v>6</v>
      </c>
      <c r="D273" s="4" t="str">
        <f>"陈子女"</f>
        <v>陈子女</v>
      </c>
      <c r="E273" s="4" t="str">
        <f t="shared" si="16"/>
        <v>女</v>
      </c>
    </row>
    <row r="274" customHeight="1" spans="1:5">
      <c r="A274" s="4">
        <v>272</v>
      </c>
      <c r="B274" s="4" t="str">
        <f>"431720220810111745239899"</f>
        <v>431720220810111745239899</v>
      </c>
      <c r="C274" s="5" t="s">
        <v>6</v>
      </c>
      <c r="D274" s="4" t="str">
        <f>"许妍娥"</f>
        <v>许妍娥</v>
      </c>
      <c r="E274" s="4" t="str">
        <f t="shared" si="16"/>
        <v>女</v>
      </c>
    </row>
    <row r="275" customHeight="1" spans="1:5">
      <c r="A275" s="4">
        <v>273</v>
      </c>
      <c r="B275" s="4" t="str">
        <f>"431720220810113912239963"</f>
        <v>431720220810113912239963</v>
      </c>
      <c r="C275" s="5" t="s">
        <v>6</v>
      </c>
      <c r="D275" s="4" t="str">
        <f>"黄裕花"</f>
        <v>黄裕花</v>
      </c>
      <c r="E275" s="4" t="str">
        <f t="shared" si="16"/>
        <v>女</v>
      </c>
    </row>
    <row r="276" customHeight="1" spans="1:5">
      <c r="A276" s="4">
        <v>274</v>
      </c>
      <c r="B276" s="4" t="str">
        <f>"431720220810115317239996"</f>
        <v>431720220810115317239996</v>
      </c>
      <c r="C276" s="5" t="s">
        <v>6</v>
      </c>
      <c r="D276" s="4" t="str">
        <f>"陈明颖"</f>
        <v>陈明颖</v>
      </c>
      <c r="E276" s="4" t="str">
        <f t="shared" si="16"/>
        <v>女</v>
      </c>
    </row>
    <row r="277" customHeight="1" spans="1:5">
      <c r="A277" s="4">
        <v>275</v>
      </c>
      <c r="B277" s="4" t="str">
        <f>"431720220810121357240042"</f>
        <v>431720220810121357240042</v>
      </c>
      <c r="C277" s="5" t="s">
        <v>6</v>
      </c>
      <c r="D277" s="4" t="str">
        <f>"杨睿"</f>
        <v>杨睿</v>
      </c>
      <c r="E277" s="4" t="str">
        <f t="shared" si="16"/>
        <v>女</v>
      </c>
    </row>
    <row r="278" customHeight="1" spans="1:5">
      <c r="A278" s="4">
        <v>276</v>
      </c>
      <c r="B278" s="4" t="str">
        <f>"431720220810124616240139"</f>
        <v>431720220810124616240139</v>
      </c>
      <c r="C278" s="5" t="s">
        <v>6</v>
      </c>
      <c r="D278" s="4" t="str">
        <f>"黎万霞"</f>
        <v>黎万霞</v>
      </c>
      <c r="E278" s="4" t="str">
        <f t="shared" si="16"/>
        <v>女</v>
      </c>
    </row>
    <row r="279" customHeight="1" spans="1:5">
      <c r="A279" s="4">
        <v>277</v>
      </c>
      <c r="B279" s="4" t="str">
        <f>"431720220810125546240169"</f>
        <v>431720220810125546240169</v>
      </c>
      <c r="C279" s="5" t="s">
        <v>6</v>
      </c>
      <c r="D279" s="4" t="str">
        <f>"苏先敏"</f>
        <v>苏先敏</v>
      </c>
      <c r="E279" s="4" t="str">
        <f t="shared" si="16"/>
        <v>女</v>
      </c>
    </row>
    <row r="280" customHeight="1" spans="1:5">
      <c r="A280" s="4">
        <v>278</v>
      </c>
      <c r="B280" s="4" t="str">
        <f>"431720220810131732240242"</f>
        <v>431720220810131732240242</v>
      </c>
      <c r="C280" s="5" t="s">
        <v>6</v>
      </c>
      <c r="D280" s="4" t="str">
        <f>"王美虹"</f>
        <v>王美虹</v>
      </c>
      <c r="E280" s="4" t="str">
        <f t="shared" si="16"/>
        <v>女</v>
      </c>
    </row>
    <row r="281" customHeight="1" spans="1:5">
      <c r="A281" s="4">
        <v>279</v>
      </c>
      <c r="B281" s="4" t="str">
        <f>"431720220810134453240293"</f>
        <v>431720220810134453240293</v>
      </c>
      <c r="C281" s="5" t="s">
        <v>6</v>
      </c>
      <c r="D281" s="4" t="str">
        <f>"郑丽灵"</f>
        <v>郑丽灵</v>
      </c>
      <c r="E281" s="4" t="str">
        <f t="shared" si="16"/>
        <v>女</v>
      </c>
    </row>
    <row r="282" customHeight="1" spans="1:5">
      <c r="A282" s="4">
        <v>280</v>
      </c>
      <c r="B282" s="4" t="str">
        <f>"431720220810140106240315"</f>
        <v>431720220810140106240315</v>
      </c>
      <c r="C282" s="5" t="s">
        <v>6</v>
      </c>
      <c r="D282" s="4" t="str">
        <f>"符有妹"</f>
        <v>符有妹</v>
      </c>
      <c r="E282" s="4" t="str">
        <f t="shared" si="16"/>
        <v>女</v>
      </c>
    </row>
    <row r="283" customHeight="1" spans="1:5">
      <c r="A283" s="4">
        <v>281</v>
      </c>
      <c r="B283" s="4" t="str">
        <f>"431720220810140641240320"</f>
        <v>431720220810140641240320</v>
      </c>
      <c r="C283" s="5" t="s">
        <v>6</v>
      </c>
      <c r="D283" s="4" t="str">
        <f>"陈冰"</f>
        <v>陈冰</v>
      </c>
      <c r="E283" s="4" t="str">
        <f t="shared" si="16"/>
        <v>女</v>
      </c>
    </row>
    <row r="284" customHeight="1" spans="1:5">
      <c r="A284" s="4">
        <v>282</v>
      </c>
      <c r="B284" s="4" t="str">
        <f>"431720220810153755240576"</f>
        <v>431720220810153755240576</v>
      </c>
      <c r="C284" s="5" t="s">
        <v>6</v>
      </c>
      <c r="D284" s="4" t="str">
        <f>"饶铸海"</f>
        <v>饶铸海</v>
      </c>
      <c r="E284" s="4" t="str">
        <f>"男"</f>
        <v>男</v>
      </c>
    </row>
    <row r="285" customHeight="1" spans="1:5">
      <c r="A285" s="4">
        <v>283</v>
      </c>
      <c r="B285" s="4" t="str">
        <f>"431720220810161108240708"</f>
        <v>431720220810161108240708</v>
      </c>
      <c r="C285" s="5" t="s">
        <v>6</v>
      </c>
      <c r="D285" s="4" t="str">
        <f>"黄小妹"</f>
        <v>黄小妹</v>
      </c>
      <c r="E285" s="4" t="str">
        <f t="shared" ref="E285:E298" si="17">"女"</f>
        <v>女</v>
      </c>
    </row>
    <row r="286" customHeight="1" spans="1:5">
      <c r="A286" s="4">
        <v>284</v>
      </c>
      <c r="B286" s="4" t="str">
        <f>"431720220810161514240721"</f>
        <v>431720220810161514240721</v>
      </c>
      <c r="C286" s="5" t="s">
        <v>6</v>
      </c>
      <c r="D286" s="4" t="str">
        <f>"吉静"</f>
        <v>吉静</v>
      </c>
      <c r="E286" s="4" t="str">
        <f t="shared" si="17"/>
        <v>女</v>
      </c>
    </row>
    <row r="287" customHeight="1" spans="1:5">
      <c r="A287" s="4">
        <v>285</v>
      </c>
      <c r="B287" s="4" t="str">
        <f>"431720220810164844240827"</f>
        <v>431720220810164844240827</v>
      </c>
      <c r="C287" s="5" t="s">
        <v>6</v>
      </c>
      <c r="D287" s="4" t="str">
        <f>"王壮燕"</f>
        <v>王壮燕</v>
      </c>
      <c r="E287" s="4" t="str">
        <f t="shared" si="17"/>
        <v>女</v>
      </c>
    </row>
    <row r="288" customHeight="1" spans="1:5">
      <c r="A288" s="4">
        <v>286</v>
      </c>
      <c r="B288" s="4" t="str">
        <f>"431720220810165555240856"</f>
        <v>431720220810165555240856</v>
      </c>
      <c r="C288" s="5" t="s">
        <v>6</v>
      </c>
      <c r="D288" s="4" t="str">
        <f>"龙雨萌"</f>
        <v>龙雨萌</v>
      </c>
      <c r="E288" s="4" t="str">
        <f t="shared" si="17"/>
        <v>女</v>
      </c>
    </row>
    <row r="289" customHeight="1" spans="1:5">
      <c r="A289" s="4">
        <v>287</v>
      </c>
      <c r="B289" s="4" t="str">
        <f>"431720220810170224240868"</f>
        <v>431720220810170224240868</v>
      </c>
      <c r="C289" s="5" t="s">
        <v>6</v>
      </c>
      <c r="D289" s="4" t="str">
        <f>"庞三妹"</f>
        <v>庞三妹</v>
      </c>
      <c r="E289" s="4" t="str">
        <f t="shared" si="17"/>
        <v>女</v>
      </c>
    </row>
    <row r="290" customHeight="1" spans="1:5">
      <c r="A290" s="4">
        <v>288</v>
      </c>
      <c r="B290" s="4" t="str">
        <f>"431720220810170516240876"</f>
        <v>431720220810170516240876</v>
      </c>
      <c r="C290" s="5" t="s">
        <v>6</v>
      </c>
      <c r="D290" s="4" t="str">
        <f>"邢敏"</f>
        <v>邢敏</v>
      </c>
      <c r="E290" s="4" t="str">
        <f t="shared" si="17"/>
        <v>女</v>
      </c>
    </row>
    <row r="291" customHeight="1" spans="1:5">
      <c r="A291" s="4">
        <v>289</v>
      </c>
      <c r="B291" s="4" t="str">
        <f>"431720220810171926240911"</f>
        <v>431720220810171926240911</v>
      </c>
      <c r="C291" s="5" t="s">
        <v>6</v>
      </c>
      <c r="D291" s="4" t="str">
        <f>"陈月美"</f>
        <v>陈月美</v>
      </c>
      <c r="E291" s="4" t="str">
        <f t="shared" si="17"/>
        <v>女</v>
      </c>
    </row>
    <row r="292" customHeight="1" spans="1:5">
      <c r="A292" s="4">
        <v>290</v>
      </c>
      <c r="B292" s="4" t="str">
        <f>"431720220810173531240946"</f>
        <v>431720220810173531240946</v>
      </c>
      <c r="C292" s="5" t="s">
        <v>6</v>
      </c>
      <c r="D292" s="4" t="str">
        <f>"杨梦欣"</f>
        <v>杨梦欣</v>
      </c>
      <c r="E292" s="4" t="str">
        <f t="shared" si="17"/>
        <v>女</v>
      </c>
    </row>
    <row r="293" customHeight="1" spans="1:5">
      <c r="A293" s="4">
        <v>291</v>
      </c>
      <c r="B293" s="4" t="str">
        <f>"431720220810180631241016"</f>
        <v>431720220810180631241016</v>
      </c>
      <c r="C293" s="5" t="s">
        <v>6</v>
      </c>
      <c r="D293" s="4" t="str">
        <f>"冯芯怡"</f>
        <v>冯芯怡</v>
      </c>
      <c r="E293" s="4" t="str">
        <f t="shared" si="17"/>
        <v>女</v>
      </c>
    </row>
    <row r="294" customHeight="1" spans="1:5">
      <c r="A294" s="4">
        <v>292</v>
      </c>
      <c r="B294" s="4" t="str">
        <f>"431720220810182512241053"</f>
        <v>431720220810182512241053</v>
      </c>
      <c r="C294" s="5" t="s">
        <v>6</v>
      </c>
      <c r="D294" s="4" t="str">
        <f>"韩欣霖"</f>
        <v>韩欣霖</v>
      </c>
      <c r="E294" s="4" t="str">
        <f t="shared" si="17"/>
        <v>女</v>
      </c>
    </row>
    <row r="295" customHeight="1" spans="1:5">
      <c r="A295" s="4">
        <v>293</v>
      </c>
      <c r="B295" s="4" t="str">
        <f>"431720220810182923241058"</f>
        <v>431720220810182923241058</v>
      </c>
      <c r="C295" s="5" t="s">
        <v>6</v>
      </c>
      <c r="D295" s="4" t="str">
        <f>"吴剑花"</f>
        <v>吴剑花</v>
      </c>
      <c r="E295" s="4" t="str">
        <f t="shared" si="17"/>
        <v>女</v>
      </c>
    </row>
    <row r="296" customHeight="1" spans="1:5">
      <c r="A296" s="4">
        <v>294</v>
      </c>
      <c r="B296" s="4" t="str">
        <f>"431720220810185932241131"</f>
        <v>431720220810185932241131</v>
      </c>
      <c r="C296" s="5" t="s">
        <v>6</v>
      </c>
      <c r="D296" s="4" t="str">
        <f>"兰田靖"</f>
        <v>兰田靖</v>
      </c>
      <c r="E296" s="4" t="str">
        <f t="shared" si="17"/>
        <v>女</v>
      </c>
    </row>
    <row r="297" customHeight="1" spans="1:5">
      <c r="A297" s="4">
        <v>295</v>
      </c>
      <c r="B297" s="4" t="str">
        <f>"431720220810190156241133"</f>
        <v>431720220810190156241133</v>
      </c>
      <c r="C297" s="5" t="s">
        <v>6</v>
      </c>
      <c r="D297" s="4" t="str">
        <f>"李德萍"</f>
        <v>李德萍</v>
      </c>
      <c r="E297" s="4" t="str">
        <f t="shared" si="17"/>
        <v>女</v>
      </c>
    </row>
    <row r="298" customHeight="1" spans="1:5">
      <c r="A298" s="4">
        <v>296</v>
      </c>
      <c r="B298" s="4" t="str">
        <f>"431720220810194335241217"</f>
        <v>431720220810194335241217</v>
      </c>
      <c r="C298" s="5" t="s">
        <v>6</v>
      </c>
      <c r="D298" s="4" t="str">
        <f>"周金莉"</f>
        <v>周金莉</v>
      </c>
      <c r="E298" s="4" t="str">
        <f t="shared" si="17"/>
        <v>女</v>
      </c>
    </row>
    <row r="299" customHeight="1" spans="1:5">
      <c r="A299" s="4">
        <v>297</v>
      </c>
      <c r="B299" s="4" t="str">
        <f>"431720220810203238241335"</f>
        <v>431720220810203238241335</v>
      </c>
      <c r="C299" s="5" t="s">
        <v>6</v>
      </c>
      <c r="D299" s="4" t="str">
        <f>"符煜晨"</f>
        <v>符煜晨</v>
      </c>
      <c r="E299" s="4" t="str">
        <f>"男"</f>
        <v>男</v>
      </c>
    </row>
    <row r="300" customHeight="1" spans="1:5">
      <c r="A300" s="4">
        <v>298</v>
      </c>
      <c r="B300" s="4" t="str">
        <f>"431720220810203645241342"</f>
        <v>431720220810203645241342</v>
      </c>
      <c r="C300" s="5" t="s">
        <v>6</v>
      </c>
      <c r="D300" s="4" t="str">
        <f>"陈婷婷"</f>
        <v>陈婷婷</v>
      </c>
      <c r="E300" s="4" t="str">
        <f t="shared" ref="E300:E306" si="18">"女"</f>
        <v>女</v>
      </c>
    </row>
    <row r="301" customHeight="1" spans="1:5">
      <c r="A301" s="4">
        <v>299</v>
      </c>
      <c r="B301" s="4" t="str">
        <f>"431720220810203938241348"</f>
        <v>431720220810203938241348</v>
      </c>
      <c r="C301" s="5" t="s">
        <v>6</v>
      </c>
      <c r="D301" s="4" t="str">
        <f>"陈仁凰"</f>
        <v>陈仁凰</v>
      </c>
      <c r="E301" s="4" t="str">
        <f t="shared" si="18"/>
        <v>女</v>
      </c>
    </row>
    <row r="302" customHeight="1" spans="1:5">
      <c r="A302" s="4">
        <v>300</v>
      </c>
      <c r="B302" s="4" t="str">
        <f>"431720220810204210241353"</f>
        <v>431720220810204210241353</v>
      </c>
      <c r="C302" s="5" t="s">
        <v>6</v>
      </c>
      <c r="D302" s="4" t="str">
        <f>"余荣琴"</f>
        <v>余荣琴</v>
      </c>
      <c r="E302" s="4" t="str">
        <f t="shared" si="18"/>
        <v>女</v>
      </c>
    </row>
    <row r="303" customHeight="1" spans="1:5">
      <c r="A303" s="4">
        <v>301</v>
      </c>
      <c r="B303" s="4" t="str">
        <f>"431720220810211004241425"</f>
        <v>431720220810211004241425</v>
      </c>
      <c r="C303" s="5" t="s">
        <v>6</v>
      </c>
      <c r="D303" s="4" t="str">
        <f>"黎丽敏"</f>
        <v>黎丽敏</v>
      </c>
      <c r="E303" s="4" t="str">
        <f t="shared" si="18"/>
        <v>女</v>
      </c>
    </row>
    <row r="304" customHeight="1" spans="1:5">
      <c r="A304" s="4">
        <v>302</v>
      </c>
      <c r="B304" s="4" t="str">
        <f>"431720220810211125241430"</f>
        <v>431720220810211125241430</v>
      </c>
      <c r="C304" s="5" t="s">
        <v>6</v>
      </c>
      <c r="D304" s="4" t="str">
        <f>"陈玉杏"</f>
        <v>陈玉杏</v>
      </c>
      <c r="E304" s="4" t="str">
        <f t="shared" si="18"/>
        <v>女</v>
      </c>
    </row>
    <row r="305" customHeight="1" spans="1:5">
      <c r="A305" s="4">
        <v>303</v>
      </c>
      <c r="B305" s="4" t="str">
        <f>"431720220810211251241431"</f>
        <v>431720220810211251241431</v>
      </c>
      <c r="C305" s="5" t="s">
        <v>6</v>
      </c>
      <c r="D305" s="4" t="str">
        <f>"邢亚丽"</f>
        <v>邢亚丽</v>
      </c>
      <c r="E305" s="4" t="str">
        <f t="shared" si="18"/>
        <v>女</v>
      </c>
    </row>
    <row r="306" customHeight="1" spans="1:5">
      <c r="A306" s="4">
        <v>304</v>
      </c>
      <c r="B306" s="4" t="str">
        <f>"431720220810211437241438"</f>
        <v>431720220810211437241438</v>
      </c>
      <c r="C306" s="5" t="s">
        <v>6</v>
      </c>
      <c r="D306" s="4" t="str">
        <f>"麦小菲"</f>
        <v>麦小菲</v>
      </c>
      <c r="E306" s="4" t="str">
        <f t="shared" si="18"/>
        <v>女</v>
      </c>
    </row>
    <row r="307" customHeight="1" spans="1:5">
      <c r="A307" s="4">
        <v>305</v>
      </c>
      <c r="B307" s="4" t="str">
        <f>"431720220810212622241466"</f>
        <v>431720220810212622241466</v>
      </c>
      <c r="C307" s="5" t="s">
        <v>6</v>
      </c>
      <c r="D307" s="4" t="str">
        <f>"王德新"</f>
        <v>王德新</v>
      </c>
      <c r="E307" s="4" t="str">
        <f>"男"</f>
        <v>男</v>
      </c>
    </row>
    <row r="308" customHeight="1" spans="1:5">
      <c r="A308" s="4">
        <v>306</v>
      </c>
      <c r="B308" s="4" t="str">
        <f>"431720220810213232241483"</f>
        <v>431720220810213232241483</v>
      </c>
      <c r="C308" s="5" t="s">
        <v>6</v>
      </c>
      <c r="D308" s="4" t="str">
        <f>"陈云芳"</f>
        <v>陈云芳</v>
      </c>
      <c r="E308" s="4" t="str">
        <f t="shared" ref="E308:E343" si="19">"女"</f>
        <v>女</v>
      </c>
    </row>
    <row r="309" customHeight="1" spans="1:5">
      <c r="A309" s="4">
        <v>307</v>
      </c>
      <c r="B309" s="4" t="str">
        <f>"431720220810214132241516"</f>
        <v>431720220810214132241516</v>
      </c>
      <c r="C309" s="5" t="s">
        <v>6</v>
      </c>
      <c r="D309" s="4" t="str">
        <f>"钟小静"</f>
        <v>钟小静</v>
      </c>
      <c r="E309" s="4" t="str">
        <f t="shared" si="19"/>
        <v>女</v>
      </c>
    </row>
    <row r="310" customHeight="1" spans="1:5">
      <c r="A310" s="4">
        <v>308</v>
      </c>
      <c r="B310" s="4" t="str">
        <f>"431720220810215042241539"</f>
        <v>431720220810215042241539</v>
      </c>
      <c r="C310" s="5" t="s">
        <v>6</v>
      </c>
      <c r="D310" s="4" t="str">
        <f>"王慧"</f>
        <v>王慧</v>
      </c>
      <c r="E310" s="4" t="str">
        <f t="shared" si="19"/>
        <v>女</v>
      </c>
    </row>
    <row r="311" customHeight="1" spans="1:5">
      <c r="A311" s="4">
        <v>309</v>
      </c>
      <c r="B311" s="4" t="str">
        <f>"431720220810215620241553"</f>
        <v>431720220810215620241553</v>
      </c>
      <c r="C311" s="5" t="s">
        <v>6</v>
      </c>
      <c r="D311" s="4" t="str">
        <f>"文金璐"</f>
        <v>文金璐</v>
      </c>
      <c r="E311" s="4" t="str">
        <f t="shared" si="19"/>
        <v>女</v>
      </c>
    </row>
    <row r="312" customHeight="1" spans="1:5">
      <c r="A312" s="4">
        <v>310</v>
      </c>
      <c r="B312" s="4" t="str">
        <f>"431720220810220359241570"</f>
        <v>431720220810220359241570</v>
      </c>
      <c r="C312" s="5" t="s">
        <v>6</v>
      </c>
      <c r="D312" s="4" t="str">
        <f>"朱奕霏"</f>
        <v>朱奕霏</v>
      </c>
      <c r="E312" s="4" t="str">
        <f t="shared" si="19"/>
        <v>女</v>
      </c>
    </row>
    <row r="313" customHeight="1" spans="1:5">
      <c r="A313" s="4">
        <v>311</v>
      </c>
      <c r="B313" s="4" t="str">
        <f>"431720220810220421241572"</f>
        <v>431720220810220421241572</v>
      </c>
      <c r="C313" s="5" t="s">
        <v>6</v>
      </c>
      <c r="D313" s="4" t="str">
        <f>"余珍娟"</f>
        <v>余珍娟</v>
      </c>
      <c r="E313" s="4" t="str">
        <f t="shared" si="19"/>
        <v>女</v>
      </c>
    </row>
    <row r="314" customHeight="1" spans="1:5">
      <c r="A314" s="4">
        <v>312</v>
      </c>
      <c r="B314" s="4" t="str">
        <f>"431720220810220518241576"</f>
        <v>431720220810220518241576</v>
      </c>
      <c r="C314" s="5" t="s">
        <v>6</v>
      </c>
      <c r="D314" s="4" t="str">
        <f>"刘晓彬"</f>
        <v>刘晓彬</v>
      </c>
      <c r="E314" s="4" t="str">
        <f t="shared" si="19"/>
        <v>女</v>
      </c>
    </row>
    <row r="315" customHeight="1" spans="1:5">
      <c r="A315" s="4">
        <v>313</v>
      </c>
      <c r="B315" s="4" t="str">
        <f>"431720220810221918241607"</f>
        <v>431720220810221918241607</v>
      </c>
      <c r="C315" s="5" t="s">
        <v>6</v>
      </c>
      <c r="D315" s="4" t="str">
        <f>"任碧琴"</f>
        <v>任碧琴</v>
      </c>
      <c r="E315" s="4" t="str">
        <f t="shared" si="19"/>
        <v>女</v>
      </c>
    </row>
    <row r="316" customHeight="1" spans="1:5">
      <c r="A316" s="4">
        <v>314</v>
      </c>
      <c r="B316" s="4" t="str">
        <f>"431720220810222501241619"</f>
        <v>431720220810222501241619</v>
      </c>
      <c r="C316" s="5" t="s">
        <v>6</v>
      </c>
      <c r="D316" s="4" t="str">
        <f>"蓝利萍"</f>
        <v>蓝利萍</v>
      </c>
      <c r="E316" s="4" t="str">
        <f t="shared" si="19"/>
        <v>女</v>
      </c>
    </row>
    <row r="317" customHeight="1" spans="1:5">
      <c r="A317" s="4">
        <v>315</v>
      </c>
      <c r="B317" s="4" t="str">
        <f>"431720220810223441241643"</f>
        <v>431720220810223441241643</v>
      </c>
      <c r="C317" s="5" t="s">
        <v>6</v>
      </c>
      <c r="D317" s="4" t="str">
        <f>"高雅婷"</f>
        <v>高雅婷</v>
      </c>
      <c r="E317" s="4" t="str">
        <f t="shared" si="19"/>
        <v>女</v>
      </c>
    </row>
    <row r="318" customHeight="1" spans="1:5">
      <c r="A318" s="4">
        <v>316</v>
      </c>
      <c r="B318" s="4" t="str">
        <f>"431720220810224758241668"</f>
        <v>431720220810224758241668</v>
      </c>
      <c r="C318" s="5" t="s">
        <v>6</v>
      </c>
      <c r="D318" s="4" t="str">
        <f>"符会蕊"</f>
        <v>符会蕊</v>
      </c>
      <c r="E318" s="4" t="str">
        <f t="shared" si="19"/>
        <v>女</v>
      </c>
    </row>
    <row r="319" customHeight="1" spans="1:5">
      <c r="A319" s="4">
        <v>317</v>
      </c>
      <c r="B319" s="4" t="str">
        <f>"431720220810224858241671"</f>
        <v>431720220810224858241671</v>
      </c>
      <c r="C319" s="5" t="s">
        <v>6</v>
      </c>
      <c r="D319" s="4" t="str">
        <f>"莫海燕"</f>
        <v>莫海燕</v>
      </c>
      <c r="E319" s="4" t="str">
        <f t="shared" si="19"/>
        <v>女</v>
      </c>
    </row>
    <row r="320" customHeight="1" spans="1:5">
      <c r="A320" s="4">
        <v>318</v>
      </c>
      <c r="B320" s="4" t="str">
        <f>"431720220810231212241705"</f>
        <v>431720220810231212241705</v>
      </c>
      <c r="C320" s="5" t="s">
        <v>6</v>
      </c>
      <c r="D320" s="4" t="str">
        <f>"陈喜云"</f>
        <v>陈喜云</v>
      </c>
      <c r="E320" s="4" t="str">
        <f t="shared" si="19"/>
        <v>女</v>
      </c>
    </row>
    <row r="321" customHeight="1" spans="1:5">
      <c r="A321" s="4">
        <v>319</v>
      </c>
      <c r="B321" s="4" t="str">
        <f>"431720220810231459241710"</f>
        <v>431720220810231459241710</v>
      </c>
      <c r="C321" s="5" t="s">
        <v>6</v>
      </c>
      <c r="D321" s="4" t="str">
        <f>"王丹"</f>
        <v>王丹</v>
      </c>
      <c r="E321" s="4" t="str">
        <f t="shared" si="19"/>
        <v>女</v>
      </c>
    </row>
    <row r="322" customHeight="1" spans="1:5">
      <c r="A322" s="4">
        <v>320</v>
      </c>
      <c r="B322" s="4" t="str">
        <f>"431720220810234229241746"</f>
        <v>431720220810234229241746</v>
      </c>
      <c r="C322" s="5" t="s">
        <v>6</v>
      </c>
      <c r="D322" s="4" t="str">
        <f>"吴雪萍"</f>
        <v>吴雪萍</v>
      </c>
      <c r="E322" s="4" t="str">
        <f t="shared" si="19"/>
        <v>女</v>
      </c>
    </row>
    <row r="323" customHeight="1" spans="1:5">
      <c r="A323" s="4">
        <v>321</v>
      </c>
      <c r="B323" s="4" t="str">
        <f>"431720220811011608241795"</f>
        <v>431720220811011608241795</v>
      </c>
      <c r="C323" s="5" t="s">
        <v>6</v>
      </c>
      <c r="D323" s="4" t="str">
        <f>"王川淇"</f>
        <v>王川淇</v>
      </c>
      <c r="E323" s="4" t="str">
        <f t="shared" si="19"/>
        <v>女</v>
      </c>
    </row>
    <row r="324" customHeight="1" spans="1:5">
      <c r="A324" s="4">
        <v>322</v>
      </c>
      <c r="B324" s="4" t="str">
        <f>"431720220811011726241796"</f>
        <v>431720220811011726241796</v>
      </c>
      <c r="C324" s="5" t="s">
        <v>6</v>
      </c>
      <c r="D324" s="4" t="str">
        <f>"詹美清"</f>
        <v>詹美清</v>
      </c>
      <c r="E324" s="4" t="str">
        <f t="shared" si="19"/>
        <v>女</v>
      </c>
    </row>
    <row r="325" customHeight="1" spans="1:5">
      <c r="A325" s="4">
        <v>323</v>
      </c>
      <c r="B325" s="4" t="str">
        <f>"431720220811083456241932"</f>
        <v>431720220811083456241932</v>
      </c>
      <c r="C325" s="5" t="s">
        <v>6</v>
      </c>
      <c r="D325" s="4" t="str">
        <f>"羊明珠"</f>
        <v>羊明珠</v>
      </c>
      <c r="E325" s="4" t="str">
        <f t="shared" si="19"/>
        <v>女</v>
      </c>
    </row>
    <row r="326" customHeight="1" spans="1:5">
      <c r="A326" s="4">
        <v>324</v>
      </c>
      <c r="B326" s="4" t="str">
        <f>"431720220811084040241945"</f>
        <v>431720220811084040241945</v>
      </c>
      <c r="C326" s="5" t="s">
        <v>6</v>
      </c>
      <c r="D326" s="4" t="str">
        <f>"胡月曼"</f>
        <v>胡月曼</v>
      </c>
      <c r="E326" s="4" t="str">
        <f t="shared" si="19"/>
        <v>女</v>
      </c>
    </row>
    <row r="327" customHeight="1" spans="1:5">
      <c r="A327" s="4">
        <v>325</v>
      </c>
      <c r="B327" s="4" t="str">
        <f>"431720220811090529242013"</f>
        <v>431720220811090529242013</v>
      </c>
      <c r="C327" s="5" t="s">
        <v>6</v>
      </c>
      <c r="D327" s="4" t="str">
        <f>"王花"</f>
        <v>王花</v>
      </c>
      <c r="E327" s="4" t="str">
        <f t="shared" si="19"/>
        <v>女</v>
      </c>
    </row>
    <row r="328" customHeight="1" spans="1:5">
      <c r="A328" s="4">
        <v>326</v>
      </c>
      <c r="B328" s="4" t="str">
        <f>"431720220811093613242117"</f>
        <v>431720220811093613242117</v>
      </c>
      <c r="C328" s="5" t="s">
        <v>6</v>
      </c>
      <c r="D328" s="4" t="str">
        <f>"陈丽花"</f>
        <v>陈丽花</v>
      </c>
      <c r="E328" s="4" t="str">
        <f t="shared" si="19"/>
        <v>女</v>
      </c>
    </row>
    <row r="329" customHeight="1" spans="1:5">
      <c r="A329" s="4">
        <v>327</v>
      </c>
      <c r="B329" s="4" t="str">
        <f>"431720220811094340242141"</f>
        <v>431720220811094340242141</v>
      </c>
      <c r="C329" s="5" t="s">
        <v>6</v>
      </c>
      <c r="D329" s="4" t="str">
        <f>"赵淑婷"</f>
        <v>赵淑婷</v>
      </c>
      <c r="E329" s="4" t="str">
        <f t="shared" si="19"/>
        <v>女</v>
      </c>
    </row>
    <row r="330" customHeight="1" spans="1:5">
      <c r="A330" s="4">
        <v>328</v>
      </c>
      <c r="B330" s="4" t="str">
        <f>"431720220811101158242259"</f>
        <v>431720220811101158242259</v>
      </c>
      <c r="C330" s="5" t="s">
        <v>6</v>
      </c>
      <c r="D330" s="4" t="str">
        <f>"余明珠"</f>
        <v>余明珠</v>
      </c>
      <c r="E330" s="4" t="str">
        <f t="shared" si="19"/>
        <v>女</v>
      </c>
    </row>
    <row r="331" customHeight="1" spans="1:5">
      <c r="A331" s="4">
        <v>329</v>
      </c>
      <c r="B331" s="4" t="str">
        <f>"431720220811103425242329"</f>
        <v>431720220811103425242329</v>
      </c>
      <c r="C331" s="5" t="s">
        <v>6</v>
      </c>
      <c r="D331" s="4" t="str">
        <f>"林驰驰"</f>
        <v>林驰驰</v>
      </c>
      <c r="E331" s="4" t="str">
        <f t="shared" si="19"/>
        <v>女</v>
      </c>
    </row>
    <row r="332" customHeight="1" spans="1:5">
      <c r="A332" s="4">
        <v>330</v>
      </c>
      <c r="B332" s="4" t="str">
        <f>"431720220811103501242334"</f>
        <v>431720220811103501242334</v>
      </c>
      <c r="C332" s="5" t="s">
        <v>6</v>
      </c>
      <c r="D332" s="4" t="str">
        <f>"杜正香"</f>
        <v>杜正香</v>
      </c>
      <c r="E332" s="4" t="str">
        <f t="shared" si="19"/>
        <v>女</v>
      </c>
    </row>
    <row r="333" customHeight="1" spans="1:5">
      <c r="A333" s="4">
        <v>331</v>
      </c>
      <c r="B333" s="4" t="str">
        <f>"431720220811104709242374"</f>
        <v>431720220811104709242374</v>
      </c>
      <c r="C333" s="5" t="s">
        <v>6</v>
      </c>
      <c r="D333" s="4" t="str">
        <f>"王晨燕"</f>
        <v>王晨燕</v>
      </c>
      <c r="E333" s="4" t="str">
        <f t="shared" si="19"/>
        <v>女</v>
      </c>
    </row>
    <row r="334" customHeight="1" spans="1:5">
      <c r="A334" s="4">
        <v>332</v>
      </c>
      <c r="B334" s="4" t="str">
        <f>"431720220811104923242384"</f>
        <v>431720220811104923242384</v>
      </c>
      <c r="C334" s="5" t="s">
        <v>6</v>
      </c>
      <c r="D334" s="4" t="str">
        <f>"谭玉容"</f>
        <v>谭玉容</v>
      </c>
      <c r="E334" s="4" t="str">
        <f t="shared" si="19"/>
        <v>女</v>
      </c>
    </row>
    <row r="335" customHeight="1" spans="1:5">
      <c r="A335" s="4">
        <v>333</v>
      </c>
      <c r="B335" s="4" t="str">
        <f>"431720220811114402242531"</f>
        <v>431720220811114402242531</v>
      </c>
      <c r="C335" s="5" t="s">
        <v>6</v>
      </c>
      <c r="D335" s="4" t="str">
        <f>"张春丽"</f>
        <v>张春丽</v>
      </c>
      <c r="E335" s="4" t="str">
        <f t="shared" si="19"/>
        <v>女</v>
      </c>
    </row>
    <row r="336" customHeight="1" spans="1:5">
      <c r="A336" s="4">
        <v>334</v>
      </c>
      <c r="B336" s="4" t="str">
        <f>"431720220811120248242585"</f>
        <v>431720220811120248242585</v>
      </c>
      <c r="C336" s="5" t="s">
        <v>6</v>
      </c>
      <c r="D336" s="4" t="str">
        <f>"许兰艺"</f>
        <v>许兰艺</v>
      </c>
      <c r="E336" s="4" t="str">
        <f t="shared" si="19"/>
        <v>女</v>
      </c>
    </row>
    <row r="337" customHeight="1" spans="1:5">
      <c r="A337" s="4">
        <v>335</v>
      </c>
      <c r="B337" s="4" t="str">
        <f>"431720220811120609242594"</f>
        <v>431720220811120609242594</v>
      </c>
      <c r="C337" s="5" t="s">
        <v>6</v>
      </c>
      <c r="D337" s="4" t="str">
        <f>"王光静"</f>
        <v>王光静</v>
      </c>
      <c r="E337" s="4" t="str">
        <f t="shared" si="19"/>
        <v>女</v>
      </c>
    </row>
    <row r="338" customHeight="1" spans="1:5">
      <c r="A338" s="4">
        <v>336</v>
      </c>
      <c r="B338" s="4" t="str">
        <f>"431720220811120821242598"</f>
        <v>431720220811120821242598</v>
      </c>
      <c r="C338" s="5" t="s">
        <v>6</v>
      </c>
      <c r="D338" s="4" t="str">
        <f>"文真真"</f>
        <v>文真真</v>
      </c>
      <c r="E338" s="4" t="str">
        <f t="shared" si="19"/>
        <v>女</v>
      </c>
    </row>
    <row r="339" customHeight="1" spans="1:5">
      <c r="A339" s="4">
        <v>337</v>
      </c>
      <c r="B339" s="4" t="str">
        <f>"431720220811121255242606"</f>
        <v>431720220811121255242606</v>
      </c>
      <c r="C339" s="5" t="s">
        <v>6</v>
      </c>
      <c r="D339" s="4" t="str">
        <f>"江萍"</f>
        <v>江萍</v>
      </c>
      <c r="E339" s="4" t="str">
        <f t="shared" si="19"/>
        <v>女</v>
      </c>
    </row>
    <row r="340" customHeight="1" spans="1:5">
      <c r="A340" s="4">
        <v>338</v>
      </c>
      <c r="B340" s="4" t="str">
        <f>"431720220811121614242611"</f>
        <v>431720220811121614242611</v>
      </c>
      <c r="C340" s="5" t="s">
        <v>6</v>
      </c>
      <c r="D340" s="4" t="str">
        <f>"黎灵娟"</f>
        <v>黎灵娟</v>
      </c>
      <c r="E340" s="4" t="str">
        <f t="shared" si="19"/>
        <v>女</v>
      </c>
    </row>
    <row r="341" customHeight="1" spans="1:5">
      <c r="A341" s="4">
        <v>339</v>
      </c>
      <c r="B341" s="4" t="str">
        <f>"431720220811125159242722"</f>
        <v>431720220811125159242722</v>
      </c>
      <c r="C341" s="5" t="s">
        <v>6</v>
      </c>
      <c r="D341" s="4" t="str">
        <f>"罗佳灵"</f>
        <v>罗佳灵</v>
      </c>
      <c r="E341" s="4" t="str">
        <f t="shared" si="19"/>
        <v>女</v>
      </c>
    </row>
    <row r="342" customHeight="1" spans="1:5">
      <c r="A342" s="4">
        <v>340</v>
      </c>
      <c r="B342" s="4" t="str">
        <f>"431720220811132827242833"</f>
        <v>431720220811132827242833</v>
      </c>
      <c r="C342" s="5" t="s">
        <v>6</v>
      </c>
      <c r="D342" s="4" t="str">
        <f>"李专"</f>
        <v>李专</v>
      </c>
      <c r="E342" s="4" t="str">
        <f t="shared" si="19"/>
        <v>女</v>
      </c>
    </row>
    <row r="343" customHeight="1" spans="1:5">
      <c r="A343" s="4">
        <v>341</v>
      </c>
      <c r="B343" s="4" t="str">
        <f>"431720220811140115242897"</f>
        <v>431720220811140115242897</v>
      </c>
      <c r="C343" s="5" t="s">
        <v>6</v>
      </c>
      <c r="D343" s="4" t="str">
        <f>"罗慧芳"</f>
        <v>罗慧芳</v>
      </c>
      <c r="E343" s="4" t="str">
        <f t="shared" si="19"/>
        <v>女</v>
      </c>
    </row>
    <row r="344" customHeight="1" spans="1:5">
      <c r="A344" s="4">
        <v>342</v>
      </c>
      <c r="B344" s="4" t="str">
        <f>"431720220811141555242936"</f>
        <v>431720220811141555242936</v>
      </c>
      <c r="C344" s="5" t="s">
        <v>6</v>
      </c>
      <c r="D344" s="4" t="str">
        <f>"林昊天"</f>
        <v>林昊天</v>
      </c>
      <c r="E344" s="4" t="str">
        <f>"男"</f>
        <v>男</v>
      </c>
    </row>
    <row r="345" customHeight="1" spans="1:5">
      <c r="A345" s="4">
        <v>343</v>
      </c>
      <c r="B345" s="4" t="str">
        <f>"431720220811142524242962"</f>
        <v>431720220811142524242962</v>
      </c>
      <c r="C345" s="5" t="s">
        <v>6</v>
      </c>
      <c r="D345" s="4" t="str">
        <f>"文芳玲"</f>
        <v>文芳玲</v>
      </c>
      <c r="E345" s="4" t="str">
        <f t="shared" ref="E345:E354" si="20">"女"</f>
        <v>女</v>
      </c>
    </row>
    <row r="346" customHeight="1" spans="1:5">
      <c r="A346" s="4">
        <v>344</v>
      </c>
      <c r="B346" s="4" t="str">
        <f>"431720220811143007242979"</f>
        <v>431720220811143007242979</v>
      </c>
      <c r="C346" s="5" t="s">
        <v>6</v>
      </c>
      <c r="D346" s="4" t="str">
        <f>"吴雪"</f>
        <v>吴雪</v>
      </c>
      <c r="E346" s="4" t="str">
        <f t="shared" si="20"/>
        <v>女</v>
      </c>
    </row>
    <row r="347" customHeight="1" spans="1:5">
      <c r="A347" s="4">
        <v>345</v>
      </c>
      <c r="B347" s="4" t="str">
        <f>"431720220811143836243009"</f>
        <v>431720220811143836243009</v>
      </c>
      <c r="C347" s="5" t="s">
        <v>6</v>
      </c>
      <c r="D347" s="4" t="str">
        <f>"曾婷"</f>
        <v>曾婷</v>
      </c>
      <c r="E347" s="4" t="str">
        <f t="shared" si="20"/>
        <v>女</v>
      </c>
    </row>
    <row r="348" customHeight="1" spans="1:5">
      <c r="A348" s="4">
        <v>346</v>
      </c>
      <c r="B348" s="4" t="str">
        <f>"431720220811152100243149"</f>
        <v>431720220811152100243149</v>
      </c>
      <c r="C348" s="5" t="s">
        <v>6</v>
      </c>
      <c r="D348" s="4" t="str">
        <f>"苏祥静"</f>
        <v>苏祥静</v>
      </c>
      <c r="E348" s="4" t="str">
        <f t="shared" si="20"/>
        <v>女</v>
      </c>
    </row>
    <row r="349" customHeight="1" spans="1:5">
      <c r="A349" s="4">
        <v>347</v>
      </c>
      <c r="B349" s="4" t="str">
        <f>"431720220811155427243257"</f>
        <v>431720220811155427243257</v>
      </c>
      <c r="C349" s="5" t="s">
        <v>6</v>
      </c>
      <c r="D349" s="4" t="str">
        <f>"黄亚孟"</f>
        <v>黄亚孟</v>
      </c>
      <c r="E349" s="4" t="str">
        <f t="shared" si="20"/>
        <v>女</v>
      </c>
    </row>
    <row r="350" customHeight="1" spans="1:5">
      <c r="A350" s="4">
        <v>348</v>
      </c>
      <c r="B350" s="4" t="str">
        <f>"431720220811155634243264"</f>
        <v>431720220811155634243264</v>
      </c>
      <c r="C350" s="5" t="s">
        <v>6</v>
      </c>
      <c r="D350" s="4" t="str">
        <f>"王海兰"</f>
        <v>王海兰</v>
      </c>
      <c r="E350" s="4" t="str">
        <f t="shared" si="20"/>
        <v>女</v>
      </c>
    </row>
    <row r="351" customHeight="1" spans="1:5">
      <c r="A351" s="4">
        <v>349</v>
      </c>
      <c r="B351" s="4" t="str">
        <f>"431720220811160822243295"</f>
        <v>431720220811160822243295</v>
      </c>
      <c r="C351" s="5" t="s">
        <v>6</v>
      </c>
      <c r="D351" s="4" t="str">
        <f>"黄小槟"</f>
        <v>黄小槟</v>
      </c>
      <c r="E351" s="4" t="str">
        <f t="shared" si="20"/>
        <v>女</v>
      </c>
    </row>
    <row r="352" customHeight="1" spans="1:5">
      <c r="A352" s="4">
        <v>350</v>
      </c>
      <c r="B352" s="4" t="str">
        <f>"431720220811162108243328"</f>
        <v>431720220811162108243328</v>
      </c>
      <c r="C352" s="5" t="s">
        <v>6</v>
      </c>
      <c r="D352" s="4" t="str">
        <f>"符春庭"</f>
        <v>符春庭</v>
      </c>
      <c r="E352" s="4" t="str">
        <f t="shared" si="20"/>
        <v>女</v>
      </c>
    </row>
    <row r="353" customHeight="1" spans="1:5">
      <c r="A353" s="4">
        <v>351</v>
      </c>
      <c r="B353" s="4" t="str">
        <f>"431720220811162553243340"</f>
        <v>431720220811162553243340</v>
      </c>
      <c r="C353" s="5" t="s">
        <v>6</v>
      </c>
      <c r="D353" s="4" t="str">
        <f>"符秀姑"</f>
        <v>符秀姑</v>
      </c>
      <c r="E353" s="4" t="str">
        <f t="shared" si="20"/>
        <v>女</v>
      </c>
    </row>
    <row r="354" customHeight="1" spans="1:5">
      <c r="A354" s="4">
        <v>352</v>
      </c>
      <c r="B354" s="4" t="str">
        <f>"431720220811163555243379"</f>
        <v>431720220811163555243379</v>
      </c>
      <c r="C354" s="5" t="s">
        <v>6</v>
      </c>
      <c r="D354" s="4" t="str">
        <f>"吴依倩"</f>
        <v>吴依倩</v>
      </c>
      <c r="E354" s="4" t="str">
        <f t="shared" si="20"/>
        <v>女</v>
      </c>
    </row>
    <row r="355" customHeight="1" spans="1:5">
      <c r="A355" s="4">
        <v>353</v>
      </c>
      <c r="B355" s="4" t="str">
        <f>"431720220811163815243390"</f>
        <v>431720220811163815243390</v>
      </c>
      <c r="C355" s="5" t="s">
        <v>6</v>
      </c>
      <c r="D355" s="4" t="str">
        <f>"董广涛"</f>
        <v>董广涛</v>
      </c>
      <c r="E355" s="4" t="str">
        <f>"男"</f>
        <v>男</v>
      </c>
    </row>
    <row r="356" customHeight="1" spans="1:5">
      <c r="A356" s="4">
        <v>354</v>
      </c>
      <c r="B356" s="4" t="str">
        <f>"431720220811163826243392"</f>
        <v>431720220811163826243392</v>
      </c>
      <c r="C356" s="5" t="s">
        <v>6</v>
      </c>
      <c r="D356" s="4" t="str">
        <f>"林本平"</f>
        <v>林本平</v>
      </c>
      <c r="E356" s="4" t="str">
        <f t="shared" ref="E356:E365" si="21">"女"</f>
        <v>女</v>
      </c>
    </row>
    <row r="357" customHeight="1" spans="1:5">
      <c r="A357" s="4">
        <v>355</v>
      </c>
      <c r="B357" s="4" t="str">
        <f>"431720220811164016243397"</f>
        <v>431720220811164016243397</v>
      </c>
      <c r="C357" s="5" t="s">
        <v>6</v>
      </c>
      <c r="D357" s="4" t="str">
        <f>"李日红"</f>
        <v>李日红</v>
      </c>
      <c r="E357" s="4" t="str">
        <f t="shared" si="21"/>
        <v>女</v>
      </c>
    </row>
    <row r="358" customHeight="1" spans="1:5">
      <c r="A358" s="4">
        <v>356</v>
      </c>
      <c r="B358" s="4" t="str">
        <f>"431720220811165118243427"</f>
        <v>431720220811165118243427</v>
      </c>
      <c r="C358" s="5" t="s">
        <v>6</v>
      </c>
      <c r="D358" s="4" t="str">
        <f>"郑刚花"</f>
        <v>郑刚花</v>
      </c>
      <c r="E358" s="4" t="str">
        <f t="shared" si="21"/>
        <v>女</v>
      </c>
    </row>
    <row r="359" customHeight="1" spans="1:5">
      <c r="A359" s="4">
        <v>357</v>
      </c>
      <c r="B359" s="4" t="str">
        <f>"431720220811170143243460"</f>
        <v>431720220811170143243460</v>
      </c>
      <c r="C359" s="5" t="s">
        <v>6</v>
      </c>
      <c r="D359" s="4" t="str">
        <f>"王皇姑"</f>
        <v>王皇姑</v>
      </c>
      <c r="E359" s="4" t="str">
        <f t="shared" si="21"/>
        <v>女</v>
      </c>
    </row>
    <row r="360" customHeight="1" spans="1:5">
      <c r="A360" s="4">
        <v>358</v>
      </c>
      <c r="B360" s="4" t="str">
        <f>"431720220811174632243518"</f>
        <v>431720220811174632243518</v>
      </c>
      <c r="C360" s="5" t="s">
        <v>6</v>
      </c>
      <c r="D360" s="4" t="str">
        <f>"陈春惠"</f>
        <v>陈春惠</v>
      </c>
      <c r="E360" s="4" t="str">
        <f t="shared" si="21"/>
        <v>女</v>
      </c>
    </row>
    <row r="361" customHeight="1" spans="1:5">
      <c r="A361" s="4">
        <v>359</v>
      </c>
      <c r="B361" s="4" t="str">
        <f>"431720220811174708243519"</f>
        <v>431720220811174708243519</v>
      </c>
      <c r="C361" s="5" t="s">
        <v>6</v>
      </c>
      <c r="D361" s="4" t="str">
        <f>"羊兰花"</f>
        <v>羊兰花</v>
      </c>
      <c r="E361" s="4" t="str">
        <f t="shared" si="21"/>
        <v>女</v>
      </c>
    </row>
    <row r="362" customHeight="1" spans="1:5">
      <c r="A362" s="4">
        <v>360</v>
      </c>
      <c r="B362" s="4" t="str">
        <f>"431720220811175637243526"</f>
        <v>431720220811175637243526</v>
      </c>
      <c r="C362" s="5" t="s">
        <v>6</v>
      </c>
      <c r="D362" s="4" t="str">
        <f>"林仙"</f>
        <v>林仙</v>
      </c>
      <c r="E362" s="4" t="str">
        <f t="shared" si="21"/>
        <v>女</v>
      </c>
    </row>
    <row r="363" customHeight="1" spans="1:5">
      <c r="A363" s="4">
        <v>361</v>
      </c>
      <c r="B363" s="4" t="str">
        <f>"431720220811180708243534"</f>
        <v>431720220811180708243534</v>
      </c>
      <c r="C363" s="5" t="s">
        <v>6</v>
      </c>
      <c r="D363" s="4" t="str">
        <f>"郑容乔"</f>
        <v>郑容乔</v>
      </c>
      <c r="E363" s="4" t="str">
        <f t="shared" si="21"/>
        <v>女</v>
      </c>
    </row>
    <row r="364" customHeight="1" spans="1:5">
      <c r="A364" s="4">
        <v>362</v>
      </c>
      <c r="B364" s="4" t="str">
        <f>"431720220811181605243537"</f>
        <v>431720220811181605243537</v>
      </c>
      <c r="C364" s="5" t="s">
        <v>6</v>
      </c>
      <c r="D364" s="4" t="str">
        <f>"陈柳"</f>
        <v>陈柳</v>
      </c>
      <c r="E364" s="4" t="str">
        <f t="shared" si="21"/>
        <v>女</v>
      </c>
    </row>
    <row r="365" customHeight="1" spans="1:5">
      <c r="A365" s="4">
        <v>363</v>
      </c>
      <c r="B365" s="4" t="str">
        <f>"431720220811181954243542"</f>
        <v>431720220811181954243542</v>
      </c>
      <c r="C365" s="5" t="s">
        <v>6</v>
      </c>
      <c r="D365" s="4" t="str">
        <f>"云彩艳"</f>
        <v>云彩艳</v>
      </c>
      <c r="E365" s="4" t="str">
        <f t="shared" si="21"/>
        <v>女</v>
      </c>
    </row>
    <row r="366" customHeight="1" spans="1:5">
      <c r="A366" s="4">
        <v>364</v>
      </c>
      <c r="B366" s="4" t="str">
        <f>"431720220811185150243554"</f>
        <v>431720220811185150243554</v>
      </c>
      <c r="C366" s="5" t="s">
        <v>6</v>
      </c>
      <c r="D366" s="4" t="str">
        <f>"刘禹"</f>
        <v>刘禹</v>
      </c>
      <c r="E366" s="4" t="str">
        <f>"男"</f>
        <v>男</v>
      </c>
    </row>
    <row r="367" customHeight="1" spans="1:5">
      <c r="A367" s="4">
        <v>365</v>
      </c>
      <c r="B367" s="4" t="str">
        <f>"431720220811192645243571"</f>
        <v>431720220811192645243571</v>
      </c>
      <c r="C367" s="5" t="s">
        <v>6</v>
      </c>
      <c r="D367" s="4" t="str">
        <f>"陈秋香"</f>
        <v>陈秋香</v>
      </c>
      <c r="E367" s="4" t="str">
        <f t="shared" ref="E367:E372" si="22">"女"</f>
        <v>女</v>
      </c>
    </row>
    <row r="368" customHeight="1" spans="1:5">
      <c r="A368" s="4">
        <v>366</v>
      </c>
      <c r="B368" s="4" t="str">
        <f>"431720220811193213243574"</f>
        <v>431720220811193213243574</v>
      </c>
      <c r="C368" s="5" t="s">
        <v>6</v>
      </c>
      <c r="D368" s="4" t="str">
        <f>"陈太如"</f>
        <v>陈太如</v>
      </c>
      <c r="E368" s="4" t="str">
        <f t="shared" si="22"/>
        <v>女</v>
      </c>
    </row>
    <row r="369" customHeight="1" spans="1:5">
      <c r="A369" s="4">
        <v>367</v>
      </c>
      <c r="B369" s="4" t="str">
        <f>"431720220811193917243579"</f>
        <v>431720220811193917243579</v>
      </c>
      <c r="C369" s="5" t="s">
        <v>6</v>
      </c>
      <c r="D369" s="4" t="str">
        <f>"林明歌"</f>
        <v>林明歌</v>
      </c>
      <c r="E369" s="4" t="str">
        <f>"男"</f>
        <v>男</v>
      </c>
    </row>
    <row r="370" customHeight="1" spans="1:5">
      <c r="A370" s="4">
        <v>368</v>
      </c>
      <c r="B370" s="4" t="str">
        <f>"431720220811194556243581"</f>
        <v>431720220811194556243581</v>
      </c>
      <c r="C370" s="5" t="s">
        <v>6</v>
      </c>
      <c r="D370" s="4" t="str">
        <f>"文婷"</f>
        <v>文婷</v>
      </c>
      <c r="E370" s="4" t="str">
        <f t="shared" si="22"/>
        <v>女</v>
      </c>
    </row>
    <row r="371" customHeight="1" spans="1:5">
      <c r="A371" s="4">
        <v>369</v>
      </c>
      <c r="B371" s="4" t="str">
        <f>"431720220811195024243586"</f>
        <v>431720220811195024243586</v>
      </c>
      <c r="C371" s="5" t="s">
        <v>6</v>
      </c>
      <c r="D371" s="4" t="str">
        <f>"王思璎"</f>
        <v>王思璎</v>
      </c>
      <c r="E371" s="4" t="str">
        <f t="shared" si="22"/>
        <v>女</v>
      </c>
    </row>
    <row r="372" customHeight="1" spans="1:5">
      <c r="A372" s="4">
        <v>370</v>
      </c>
      <c r="B372" s="4" t="str">
        <f>"431720220811195025243587"</f>
        <v>431720220811195025243587</v>
      </c>
      <c r="C372" s="5" t="s">
        <v>6</v>
      </c>
      <c r="D372" s="4" t="str">
        <f>"邢璐璐"</f>
        <v>邢璐璐</v>
      </c>
      <c r="E372" s="4" t="str">
        <f t="shared" si="22"/>
        <v>女</v>
      </c>
    </row>
    <row r="373" customHeight="1" spans="1:5">
      <c r="A373" s="4">
        <v>371</v>
      </c>
      <c r="B373" s="4" t="str">
        <f>"431720220811195040243588"</f>
        <v>431720220811195040243588</v>
      </c>
      <c r="C373" s="5" t="s">
        <v>6</v>
      </c>
      <c r="D373" s="4" t="str">
        <f>"陈茂精"</f>
        <v>陈茂精</v>
      </c>
      <c r="E373" s="4" t="str">
        <f>"男"</f>
        <v>男</v>
      </c>
    </row>
    <row r="374" customHeight="1" spans="1:5">
      <c r="A374" s="4">
        <v>372</v>
      </c>
      <c r="B374" s="4" t="str">
        <f>"431720220811200426243594"</f>
        <v>431720220811200426243594</v>
      </c>
      <c r="C374" s="5" t="s">
        <v>6</v>
      </c>
      <c r="D374" s="4" t="str">
        <f>"梁亚团"</f>
        <v>梁亚团</v>
      </c>
      <c r="E374" s="4" t="str">
        <f t="shared" ref="E374:E393" si="23">"女"</f>
        <v>女</v>
      </c>
    </row>
    <row r="375" customHeight="1" spans="1:5">
      <c r="A375" s="4">
        <v>373</v>
      </c>
      <c r="B375" s="4" t="str">
        <f>"431720220811200800243596"</f>
        <v>431720220811200800243596</v>
      </c>
      <c r="C375" s="5" t="s">
        <v>6</v>
      </c>
      <c r="D375" s="4" t="str">
        <f>"蔡石翠"</f>
        <v>蔡石翠</v>
      </c>
      <c r="E375" s="4" t="str">
        <f t="shared" si="23"/>
        <v>女</v>
      </c>
    </row>
    <row r="376" customHeight="1" spans="1:5">
      <c r="A376" s="4">
        <v>374</v>
      </c>
      <c r="B376" s="4" t="str">
        <f>"431720220811203516243612"</f>
        <v>431720220811203516243612</v>
      </c>
      <c r="C376" s="5" t="s">
        <v>6</v>
      </c>
      <c r="D376" s="4" t="str">
        <f>"魏菁秀"</f>
        <v>魏菁秀</v>
      </c>
      <c r="E376" s="4" t="str">
        <f t="shared" si="23"/>
        <v>女</v>
      </c>
    </row>
    <row r="377" customHeight="1" spans="1:5">
      <c r="A377" s="4">
        <v>375</v>
      </c>
      <c r="B377" s="4" t="str">
        <f>"431720220811203634243614"</f>
        <v>431720220811203634243614</v>
      </c>
      <c r="C377" s="5" t="s">
        <v>6</v>
      </c>
      <c r="D377" s="4" t="str">
        <f>"余鼎鼎"</f>
        <v>余鼎鼎</v>
      </c>
      <c r="E377" s="4" t="str">
        <f t="shared" si="23"/>
        <v>女</v>
      </c>
    </row>
    <row r="378" customHeight="1" spans="1:5">
      <c r="A378" s="4">
        <v>376</v>
      </c>
      <c r="B378" s="4" t="str">
        <f>"431720220811203940243617"</f>
        <v>431720220811203940243617</v>
      </c>
      <c r="C378" s="5" t="s">
        <v>6</v>
      </c>
      <c r="D378" s="4" t="str">
        <f>"卢璇"</f>
        <v>卢璇</v>
      </c>
      <c r="E378" s="4" t="str">
        <f t="shared" si="23"/>
        <v>女</v>
      </c>
    </row>
    <row r="379" customHeight="1" spans="1:5">
      <c r="A379" s="4">
        <v>377</v>
      </c>
      <c r="B379" s="4" t="str">
        <f>"431720220811210924243628"</f>
        <v>431720220811210924243628</v>
      </c>
      <c r="C379" s="5" t="s">
        <v>6</v>
      </c>
      <c r="D379" s="4" t="str">
        <f>"柯彦萍"</f>
        <v>柯彦萍</v>
      </c>
      <c r="E379" s="4" t="str">
        <f t="shared" si="23"/>
        <v>女</v>
      </c>
    </row>
    <row r="380" customHeight="1" spans="1:5">
      <c r="A380" s="4">
        <v>378</v>
      </c>
      <c r="B380" s="4" t="str">
        <f>"431720220811220558243667"</f>
        <v>431720220811220558243667</v>
      </c>
      <c r="C380" s="5" t="s">
        <v>6</v>
      </c>
      <c r="D380" s="4" t="str">
        <f>"陈雨欣"</f>
        <v>陈雨欣</v>
      </c>
      <c r="E380" s="4" t="str">
        <f t="shared" si="23"/>
        <v>女</v>
      </c>
    </row>
    <row r="381" customHeight="1" spans="1:5">
      <c r="A381" s="4">
        <v>379</v>
      </c>
      <c r="B381" s="4" t="str">
        <f>"431720220811221017243669"</f>
        <v>431720220811221017243669</v>
      </c>
      <c r="C381" s="5" t="s">
        <v>6</v>
      </c>
      <c r="D381" s="4" t="str">
        <f>"符永香"</f>
        <v>符永香</v>
      </c>
      <c r="E381" s="4" t="str">
        <f t="shared" si="23"/>
        <v>女</v>
      </c>
    </row>
    <row r="382" customHeight="1" spans="1:5">
      <c r="A382" s="4">
        <v>380</v>
      </c>
      <c r="B382" s="4" t="str">
        <f>"431720220811222046243675"</f>
        <v>431720220811222046243675</v>
      </c>
      <c r="C382" s="5" t="s">
        <v>6</v>
      </c>
      <c r="D382" s="4" t="str">
        <f>"刘晓培"</f>
        <v>刘晓培</v>
      </c>
      <c r="E382" s="4" t="str">
        <f t="shared" si="23"/>
        <v>女</v>
      </c>
    </row>
    <row r="383" customHeight="1" spans="1:5">
      <c r="A383" s="4">
        <v>381</v>
      </c>
      <c r="B383" s="4" t="str">
        <f>"431720220811222537243683"</f>
        <v>431720220811222537243683</v>
      </c>
      <c r="C383" s="5" t="s">
        <v>6</v>
      </c>
      <c r="D383" s="4" t="str">
        <f>"孟泽镜"</f>
        <v>孟泽镜</v>
      </c>
      <c r="E383" s="4" t="str">
        <f t="shared" si="23"/>
        <v>女</v>
      </c>
    </row>
    <row r="384" customHeight="1" spans="1:5">
      <c r="A384" s="4">
        <v>382</v>
      </c>
      <c r="B384" s="4" t="str">
        <f>"431720220811225658243700"</f>
        <v>431720220811225658243700</v>
      </c>
      <c r="C384" s="5" t="s">
        <v>6</v>
      </c>
      <c r="D384" s="4" t="str">
        <f>"雷珊"</f>
        <v>雷珊</v>
      </c>
      <c r="E384" s="4" t="str">
        <f t="shared" si="23"/>
        <v>女</v>
      </c>
    </row>
    <row r="385" customHeight="1" spans="1:5">
      <c r="A385" s="4">
        <v>383</v>
      </c>
      <c r="B385" s="4" t="str">
        <f>"431720220811233552243719"</f>
        <v>431720220811233552243719</v>
      </c>
      <c r="C385" s="5" t="s">
        <v>6</v>
      </c>
      <c r="D385" s="4" t="str">
        <f>"黎婆连"</f>
        <v>黎婆连</v>
      </c>
      <c r="E385" s="4" t="str">
        <f t="shared" si="23"/>
        <v>女</v>
      </c>
    </row>
    <row r="386" customHeight="1" spans="1:5">
      <c r="A386" s="4">
        <v>384</v>
      </c>
      <c r="B386" s="4" t="str">
        <f>"431720220811234118243722"</f>
        <v>431720220811234118243722</v>
      </c>
      <c r="C386" s="5" t="s">
        <v>6</v>
      </c>
      <c r="D386" s="4" t="str">
        <f>"唐春鹏"</f>
        <v>唐春鹏</v>
      </c>
      <c r="E386" s="4" t="str">
        <f t="shared" si="23"/>
        <v>女</v>
      </c>
    </row>
    <row r="387" customHeight="1" spans="1:5">
      <c r="A387" s="4">
        <v>385</v>
      </c>
      <c r="B387" s="4" t="str">
        <f>"431720220811234139243723"</f>
        <v>431720220811234139243723</v>
      </c>
      <c r="C387" s="5" t="s">
        <v>6</v>
      </c>
      <c r="D387" s="4" t="str">
        <f>"黄来金"</f>
        <v>黄来金</v>
      </c>
      <c r="E387" s="4" t="str">
        <f t="shared" si="23"/>
        <v>女</v>
      </c>
    </row>
    <row r="388" customHeight="1" spans="1:5">
      <c r="A388" s="4">
        <v>386</v>
      </c>
      <c r="B388" s="4" t="str">
        <f>"431720220811235332243730"</f>
        <v>431720220811235332243730</v>
      </c>
      <c r="C388" s="5" t="s">
        <v>6</v>
      </c>
      <c r="D388" s="4" t="str">
        <f>"柯云飞"</f>
        <v>柯云飞</v>
      </c>
      <c r="E388" s="4" t="str">
        <f t="shared" si="23"/>
        <v>女</v>
      </c>
    </row>
    <row r="389" customHeight="1" spans="1:5">
      <c r="A389" s="4">
        <v>387</v>
      </c>
      <c r="B389" s="4" t="str">
        <f>"431720220811235524243731"</f>
        <v>431720220811235524243731</v>
      </c>
      <c r="C389" s="5" t="s">
        <v>6</v>
      </c>
      <c r="D389" s="4" t="str">
        <f>"林雅娜"</f>
        <v>林雅娜</v>
      </c>
      <c r="E389" s="4" t="str">
        <f t="shared" si="23"/>
        <v>女</v>
      </c>
    </row>
    <row r="390" customHeight="1" spans="1:5">
      <c r="A390" s="4">
        <v>388</v>
      </c>
      <c r="B390" s="4" t="str">
        <f>"431720220811235933243735"</f>
        <v>431720220811235933243735</v>
      </c>
      <c r="C390" s="5" t="s">
        <v>6</v>
      </c>
      <c r="D390" s="4" t="str">
        <f>"符金于"</f>
        <v>符金于</v>
      </c>
      <c r="E390" s="4" t="str">
        <f t="shared" si="23"/>
        <v>女</v>
      </c>
    </row>
    <row r="391" customHeight="1" spans="1:5">
      <c r="A391" s="4">
        <v>389</v>
      </c>
      <c r="B391" s="4" t="str">
        <f>"431720220812000239243737"</f>
        <v>431720220812000239243737</v>
      </c>
      <c r="C391" s="5" t="s">
        <v>6</v>
      </c>
      <c r="D391" s="4" t="str">
        <f>"张杏"</f>
        <v>张杏</v>
      </c>
      <c r="E391" s="4" t="str">
        <f t="shared" si="23"/>
        <v>女</v>
      </c>
    </row>
    <row r="392" customHeight="1" spans="1:5">
      <c r="A392" s="4">
        <v>390</v>
      </c>
      <c r="B392" s="4" t="str">
        <f>"431720220812005820243753"</f>
        <v>431720220812005820243753</v>
      </c>
      <c r="C392" s="5" t="s">
        <v>6</v>
      </c>
      <c r="D392" s="4" t="str">
        <f>"郑学彩"</f>
        <v>郑学彩</v>
      </c>
      <c r="E392" s="4" t="str">
        <f t="shared" si="23"/>
        <v>女</v>
      </c>
    </row>
    <row r="393" customHeight="1" spans="1:5">
      <c r="A393" s="4">
        <v>391</v>
      </c>
      <c r="B393" s="4" t="str">
        <f>"431720220812005915243754"</f>
        <v>431720220812005915243754</v>
      </c>
      <c r="C393" s="5" t="s">
        <v>6</v>
      </c>
      <c r="D393" s="4" t="str">
        <f>"张芳芳"</f>
        <v>张芳芳</v>
      </c>
      <c r="E393" s="4" t="str">
        <f t="shared" si="23"/>
        <v>女</v>
      </c>
    </row>
    <row r="394" customHeight="1" spans="1:5">
      <c r="A394" s="4">
        <v>392</v>
      </c>
      <c r="B394" s="4" t="str">
        <f>"431720220812022157243757"</f>
        <v>431720220812022157243757</v>
      </c>
      <c r="C394" s="5" t="s">
        <v>6</v>
      </c>
      <c r="D394" s="4" t="str">
        <f>"冯杰森"</f>
        <v>冯杰森</v>
      </c>
      <c r="E394" s="4" t="str">
        <f>"男"</f>
        <v>男</v>
      </c>
    </row>
    <row r="395" customHeight="1" spans="1:5">
      <c r="A395" s="4">
        <v>393</v>
      </c>
      <c r="B395" s="4" t="str">
        <f>"431720220812031733243758"</f>
        <v>431720220812031733243758</v>
      </c>
      <c r="C395" s="5" t="s">
        <v>6</v>
      </c>
      <c r="D395" s="4" t="str">
        <f>"苏娜"</f>
        <v>苏娜</v>
      </c>
      <c r="E395" s="4" t="str">
        <f t="shared" ref="E395:E403" si="24">"女"</f>
        <v>女</v>
      </c>
    </row>
    <row r="396" customHeight="1" spans="1:5">
      <c r="A396" s="4">
        <v>394</v>
      </c>
      <c r="B396" s="4" t="str">
        <f>"431720220812040046243760"</f>
        <v>431720220812040046243760</v>
      </c>
      <c r="C396" s="5" t="s">
        <v>6</v>
      </c>
      <c r="D396" s="4" t="str">
        <f>"黄才智"</f>
        <v>黄才智</v>
      </c>
      <c r="E396" s="4" t="str">
        <f>"男"</f>
        <v>男</v>
      </c>
    </row>
    <row r="397" customHeight="1" spans="1:5">
      <c r="A397" s="4">
        <v>395</v>
      </c>
      <c r="B397" s="4" t="str">
        <f>"431720220812074506243774"</f>
        <v>431720220812074506243774</v>
      </c>
      <c r="C397" s="5" t="s">
        <v>6</v>
      </c>
      <c r="D397" s="4" t="str">
        <f>"王秀娜"</f>
        <v>王秀娜</v>
      </c>
      <c r="E397" s="4" t="str">
        <f t="shared" si="24"/>
        <v>女</v>
      </c>
    </row>
    <row r="398" customHeight="1" spans="1:5">
      <c r="A398" s="4">
        <v>396</v>
      </c>
      <c r="B398" s="4" t="str">
        <f>"431720220812080614243779"</f>
        <v>431720220812080614243779</v>
      </c>
      <c r="C398" s="5" t="s">
        <v>6</v>
      </c>
      <c r="D398" s="4" t="str">
        <f>"林桂香"</f>
        <v>林桂香</v>
      </c>
      <c r="E398" s="4" t="str">
        <f t="shared" si="24"/>
        <v>女</v>
      </c>
    </row>
    <row r="399" customHeight="1" spans="1:5">
      <c r="A399" s="4">
        <v>397</v>
      </c>
      <c r="B399" s="4" t="str">
        <f>"431720220812090127243825"</f>
        <v>431720220812090127243825</v>
      </c>
      <c r="C399" s="5" t="s">
        <v>6</v>
      </c>
      <c r="D399" s="4" t="str">
        <f>"林丽洁"</f>
        <v>林丽洁</v>
      </c>
      <c r="E399" s="4" t="str">
        <f t="shared" si="24"/>
        <v>女</v>
      </c>
    </row>
    <row r="400" customHeight="1" spans="1:5">
      <c r="A400" s="4">
        <v>398</v>
      </c>
      <c r="B400" s="4" t="str">
        <f>"431720220812090933243833"</f>
        <v>431720220812090933243833</v>
      </c>
      <c r="C400" s="5" t="s">
        <v>6</v>
      </c>
      <c r="D400" s="4" t="str">
        <f>"万兴柳"</f>
        <v>万兴柳</v>
      </c>
      <c r="E400" s="4" t="str">
        <f t="shared" si="24"/>
        <v>女</v>
      </c>
    </row>
    <row r="401" customHeight="1" spans="1:5">
      <c r="A401" s="4">
        <v>399</v>
      </c>
      <c r="B401" s="4" t="str">
        <f>"431720220812092754243866"</f>
        <v>431720220812092754243866</v>
      </c>
      <c r="C401" s="5" t="s">
        <v>6</v>
      </c>
      <c r="D401" s="4" t="str">
        <f>"谢小贫"</f>
        <v>谢小贫</v>
      </c>
      <c r="E401" s="4" t="str">
        <f t="shared" si="24"/>
        <v>女</v>
      </c>
    </row>
    <row r="402" customHeight="1" spans="1:5">
      <c r="A402" s="4">
        <v>400</v>
      </c>
      <c r="B402" s="4" t="str">
        <f>"431720220812102232243970"</f>
        <v>431720220812102232243970</v>
      </c>
      <c r="C402" s="5" t="s">
        <v>6</v>
      </c>
      <c r="D402" s="4" t="str">
        <f>"许文彬"</f>
        <v>许文彬</v>
      </c>
      <c r="E402" s="4" t="str">
        <f t="shared" si="24"/>
        <v>女</v>
      </c>
    </row>
    <row r="403" customHeight="1" spans="1:5">
      <c r="A403" s="4">
        <v>401</v>
      </c>
      <c r="B403" s="4" t="str">
        <f>"431720220812102748243982"</f>
        <v>431720220812102748243982</v>
      </c>
      <c r="C403" s="5" t="s">
        <v>6</v>
      </c>
      <c r="D403" s="4" t="str">
        <f>"王丽萍"</f>
        <v>王丽萍</v>
      </c>
      <c r="E403" s="4" t="str">
        <f t="shared" si="24"/>
        <v>女</v>
      </c>
    </row>
    <row r="404" customHeight="1" spans="1:5">
      <c r="A404" s="4">
        <v>402</v>
      </c>
      <c r="B404" s="4" t="str">
        <f>"431720220812102905243986"</f>
        <v>431720220812102905243986</v>
      </c>
      <c r="C404" s="5" t="s">
        <v>6</v>
      </c>
      <c r="D404" s="4" t="str">
        <f>"蔡於良"</f>
        <v>蔡於良</v>
      </c>
      <c r="E404" s="4" t="str">
        <f>"男"</f>
        <v>男</v>
      </c>
    </row>
    <row r="405" customHeight="1" spans="1:5">
      <c r="A405" s="4">
        <v>403</v>
      </c>
      <c r="B405" s="4" t="str">
        <f>"431720220812102914243987"</f>
        <v>431720220812102914243987</v>
      </c>
      <c r="C405" s="5" t="s">
        <v>6</v>
      </c>
      <c r="D405" s="4" t="str">
        <f>"王垂丽"</f>
        <v>王垂丽</v>
      </c>
      <c r="E405" s="4" t="str">
        <f t="shared" ref="E405:E410" si="25">"女"</f>
        <v>女</v>
      </c>
    </row>
    <row r="406" customHeight="1" spans="1:5">
      <c r="A406" s="4">
        <v>404</v>
      </c>
      <c r="B406" s="4" t="str">
        <f>"431720220812105452244044"</f>
        <v>431720220812105452244044</v>
      </c>
      <c r="C406" s="5" t="s">
        <v>6</v>
      </c>
      <c r="D406" s="4" t="str">
        <f>"林招运"</f>
        <v>林招运</v>
      </c>
      <c r="E406" s="4" t="str">
        <f>"男"</f>
        <v>男</v>
      </c>
    </row>
    <row r="407" customHeight="1" spans="1:5">
      <c r="A407" s="4">
        <v>405</v>
      </c>
      <c r="B407" s="4" t="str">
        <f>"431720220812115258244132"</f>
        <v>431720220812115258244132</v>
      </c>
      <c r="C407" s="5" t="s">
        <v>6</v>
      </c>
      <c r="D407" s="4" t="str">
        <f>"林青岭"</f>
        <v>林青岭</v>
      </c>
      <c r="E407" s="4" t="str">
        <f t="shared" si="25"/>
        <v>女</v>
      </c>
    </row>
    <row r="408" customHeight="1" spans="1:5">
      <c r="A408" s="4">
        <v>406</v>
      </c>
      <c r="B408" s="4" t="str">
        <f>"431720220812115742244141"</f>
        <v>431720220812115742244141</v>
      </c>
      <c r="C408" s="5" t="s">
        <v>6</v>
      </c>
      <c r="D408" s="4" t="str">
        <f>"肖馥煊"</f>
        <v>肖馥煊</v>
      </c>
      <c r="E408" s="4" t="str">
        <f t="shared" si="25"/>
        <v>女</v>
      </c>
    </row>
    <row r="409" customHeight="1" spans="1:5">
      <c r="A409" s="4">
        <v>407</v>
      </c>
      <c r="B409" s="4" t="str">
        <f>"431720220812121019244153"</f>
        <v>431720220812121019244153</v>
      </c>
      <c r="C409" s="5" t="s">
        <v>6</v>
      </c>
      <c r="D409" s="4" t="str">
        <f>"唐玥"</f>
        <v>唐玥</v>
      </c>
      <c r="E409" s="4" t="str">
        <f t="shared" si="25"/>
        <v>女</v>
      </c>
    </row>
    <row r="410" customHeight="1" spans="1:5">
      <c r="A410" s="4">
        <v>408</v>
      </c>
      <c r="B410" s="4" t="str">
        <f>"431720220812121101244155"</f>
        <v>431720220812121101244155</v>
      </c>
      <c r="C410" s="5" t="s">
        <v>6</v>
      </c>
      <c r="D410" s="4" t="str">
        <f>"卢香奕"</f>
        <v>卢香奕</v>
      </c>
      <c r="E410" s="4" t="str">
        <f t="shared" si="25"/>
        <v>女</v>
      </c>
    </row>
    <row r="411" customHeight="1" spans="1:5">
      <c r="A411" s="4">
        <v>409</v>
      </c>
      <c r="B411" s="4" t="str">
        <f>"431720220812121419244159"</f>
        <v>431720220812121419244159</v>
      </c>
      <c r="C411" s="5" t="s">
        <v>6</v>
      </c>
      <c r="D411" s="4" t="str">
        <f>"符洪毓"</f>
        <v>符洪毓</v>
      </c>
      <c r="E411" s="4" t="str">
        <f>"男"</f>
        <v>男</v>
      </c>
    </row>
    <row r="412" customHeight="1" spans="1:5">
      <c r="A412" s="4">
        <v>410</v>
      </c>
      <c r="B412" s="4" t="str">
        <f>"431720220812122443244176"</f>
        <v>431720220812122443244176</v>
      </c>
      <c r="C412" s="5" t="s">
        <v>6</v>
      </c>
      <c r="D412" s="4" t="str">
        <f>"冯莉莉"</f>
        <v>冯莉莉</v>
      </c>
      <c r="E412" s="4" t="str">
        <f t="shared" ref="E412:E427" si="26">"女"</f>
        <v>女</v>
      </c>
    </row>
    <row r="413" customHeight="1" spans="1:5">
      <c r="A413" s="4">
        <v>411</v>
      </c>
      <c r="B413" s="4" t="str">
        <f>"431720220812123714244189"</f>
        <v>431720220812123714244189</v>
      </c>
      <c r="C413" s="5" t="s">
        <v>6</v>
      </c>
      <c r="D413" s="4" t="str">
        <f>"王琼莹"</f>
        <v>王琼莹</v>
      </c>
      <c r="E413" s="4" t="str">
        <f t="shared" si="26"/>
        <v>女</v>
      </c>
    </row>
    <row r="414" customHeight="1" spans="1:5">
      <c r="A414" s="4">
        <v>412</v>
      </c>
      <c r="B414" s="4" t="str">
        <f>"431720220812123751244191"</f>
        <v>431720220812123751244191</v>
      </c>
      <c r="C414" s="5" t="s">
        <v>6</v>
      </c>
      <c r="D414" s="4" t="str">
        <f>"赵仪祯"</f>
        <v>赵仪祯</v>
      </c>
      <c r="E414" s="4" t="str">
        <f t="shared" si="26"/>
        <v>女</v>
      </c>
    </row>
    <row r="415" customHeight="1" spans="1:5">
      <c r="A415" s="4">
        <v>413</v>
      </c>
      <c r="B415" s="4" t="str">
        <f>"431720220812124701244200"</f>
        <v>431720220812124701244200</v>
      </c>
      <c r="C415" s="5" t="s">
        <v>6</v>
      </c>
      <c r="D415" s="4" t="str">
        <f>"许慧稳"</f>
        <v>许慧稳</v>
      </c>
      <c r="E415" s="4" t="str">
        <f t="shared" si="26"/>
        <v>女</v>
      </c>
    </row>
    <row r="416" customHeight="1" spans="1:5">
      <c r="A416" s="4">
        <v>414</v>
      </c>
      <c r="B416" s="4" t="str">
        <f>"431720220812124827244203"</f>
        <v>431720220812124827244203</v>
      </c>
      <c r="C416" s="5" t="s">
        <v>6</v>
      </c>
      <c r="D416" s="4" t="str">
        <f>"吴红琳"</f>
        <v>吴红琳</v>
      </c>
      <c r="E416" s="4" t="str">
        <f t="shared" si="26"/>
        <v>女</v>
      </c>
    </row>
    <row r="417" customHeight="1" spans="1:5">
      <c r="A417" s="4">
        <v>415</v>
      </c>
      <c r="B417" s="4" t="str">
        <f>"431720220812125354244210"</f>
        <v>431720220812125354244210</v>
      </c>
      <c r="C417" s="5" t="s">
        <v>6</v>
      </c>
      <c r="D417" s="4" t="str">
        <f>"黄清雨"</f>
        <v>黄清雨</v>
      </c>
      <c r="E417" s="4" t="str">
        <f t="shared" si="26"/>
        <v>女</v>
      </c>
    </row>
    <row r="418" customHeight="1" spans="1:5">
      <c r="A418" s="4">
        <v>416</v>
      </c>
      <c r="B418" s="4" t="str">
        <f>"431720220812125959244219"</f>
        <v>431720220812125959244219</v>
      </c>
      <c r="C418" s="5" t="s">
        <v>6</v>
      </c>
      <c r="D418" s="4" t="str">
        <f>"林丹丹"</f>
        <v>林丹丹</v>
      </c>
      <c r="E418" s="4" t="str">
        <f t="shared" si="26"/>
        <v>女</v>
      </c>
    </row>
    <row r="419" customHeight="1" spans="1:5">
      <c r="A419" s="4">
        <v>417</v>
      </c>
      <c r="B419" s="4" t="str">
        <f>"431720220812130811244227"</f>
        <v>431720220812130811244227</v>
      </c>
      <c r="C419" s="5" t="s">
        <v>6</v>
      </c>
      <c r="D419" s="4" t="str">
        <f>"王莹莹"</f>
        <v>王莹莹</v>
      </c>
      <c r="E419" s="4" t="str">
        <f t="shared" si="26"/>
        <v>女</v>
      </c>
    </row>
    <row r="420" customHeight="1" spans="1:5">
      <c r="A420" s="4">
        <v>418</v>
      </c>
      <c r="B420" s="4" t="str">
        <f>"431720220812132055244241"</f>
        <v>431720220812132055244241</v>
      </c>
      <c r="C420" s="5" t="s">
        <v>6</v>
      </c>
      <c r="D420" s="4" t="str">
        <f>"林雅娜"</f>
        <v>林雅娜</v>
      </c>
      <c r="E420" s="4" t="str">
        <f t="shared" si="26"/>
        <v>女</v>
      </c>
    </row>
    <row r="421" customHeight="1" spans="1:5">
      <c r="A421" s="4">
        <v>419</v>
      </c>
      <c r="B421" s="4" t="str">
        <f>"431720220812134651244266"</f>
        <v>431720220812134651244266</v>
      </c>
      <c r="C421" s="5" t="s">
        <v>6</v>
      </c>
      <c r="D421" s="4" t="str">
        <f>"黄喜"</f>
        <v>黄喜</v>
      </c>
      <c r="E421" s="4" t="str">
        <f t="shared" si="26"/>
        <v>女</v>
      </c>
    </row>
    <row r="422" customHeight="1" spans="1:5">
      <c r="A422" s="4">
        <v>420</v>
      </c>
      <c r="B422" s="4" t="str">
        <f>"431720220812135852244277"</f>
        <v>431720220812135852244277</v>
      </c>
      <c r="C422" s="5" t="s">
        <v>6</v>
      </c>
      <c r="D422" s="4" t="str">
        <f>"谢宛君"</f>
        <v>谢宛君</v>
      </c>
      <c r="E422" s="4" t="str">
        <f t="shared" si="26"/>
        <v>女</v>
      </c>
    </row>
    <row r="423" customHeight="1" spans="1:5">
      <c r="A423" s="4">
        <v>421</v>
      </c>
      <c r="B423" s="4" t="str">
        <f>"431720220812140300244283"</f>
        <v>431720220812140300244283</v>
      </c>
      <c r="C423" s="5" t="s">
        <v>6</v>
      </c>
      <c r="D423" s="4" t="str">
        <f>"黄丹"</f>
        <v>黄丹</v>
      </c>
      <c r="E423" s="4" t="str">
        <f t="shared" si="26"/>
        <v>女</v>
      </c>
    </row>
    <row r="424" customHeight="1" spans="1:5">
      <c r="A424" s="4">
        <v>422</v>
      </c>
      <c r="B424" s="4" t="str">
        <f>"431720220812143744244312"</f>
        <v>431720220812143744244312</v>
      </c>
      <c r="C424" s="5" t="s">
        <v>6</v>
      </c>
      <c r="D424" s="4" t="str">
        <f>"柯纤纤"</f>
        <v>柯纤纤</v>
      </c>
      <c r="E424" s="4" t="str">
        <f t="shared" si="26"/>
        <v>女</v>
      </c>
    </row>
    <row r="425" customHeight="1" spans="1:5">
      <c r="A425" s="4">
        <v>423</v>
      </c>
      <c r="B425" s="4" t="str">
        <f>"431720220812144126244318"</f>
        <v>431720220812144126244318</v>
      </c>
      <c r="C425" s="5" t="s">
        <v>6</v>
      </c>
      <c r="D425" s="4" t="str">
        <f>"李莹莹"</f>
        <v>李莹莹</v>
      </c>
      <c r="E425" s="4" t="str">
        <f t="shared" si="26"/>
        <v>女</v>
      </c>
    </row>
    <row r="426" customHeight="1" spans="1:5">
      <c r="A426" s="4">
        <v>424</v>
      </c>
      <c r="B426" s="4" t="str">
        <f>"431720220812151602244363"</f>
        <v>431720220812151602244363</v>
      </c>
      <c r="C426" s="5" t="s">
        <v>6</v>
      </c>
      <c r="D426" s="4" t="str">
        <f>"李淑琼"</f>
        <v>李淑琼</v>
      </c>
      <c r="E426" s="4" t="str">
        <f t="shared" si="26"/>
        <v>女</v>
      </c>
    </row>
    <row r="427" customHeight="1" spans="1:5">
      <c r="A427" s="4">
        <v>425</v>
      </c>
      <c r="B427" s="4" t="str">
        <f>"431720220812151710244365"</f>
        <v>431720220812151710244365</v>
      </c>
      <c r="C427" s="5" t="s">
        <v>6</v>
      </c>
      <c r="D427" s="4" t="str">
        <f>"叶紫"</f>
        <v>叶紫</v>
      </c>
      <c r="E427" s="4" t="str">
        <f t="shared" si="26"/>
        <v>女</v>
      </c>
    </row>
    <row r="428" customHeight="1" spans="1:5">
      <c r="A428" s="4">
        <v>426</v>
      </c>
      <c r="B428" s="4" t="str">
        <f>"431720220812152031244369"</f>
        <v>431720220812152031244369</v>
      </c>
      <c r="C428" s="5" t="s">
        <v>6</v>
      </c>
      <c r="D428" s="4" t="str">
        <f>"汤昌弟"</f>
        <v>汤昌弟</v>
      </c>
      <c r="E428" s="4" t="str">
        <f>"男"</f>
        <v>男</v>
      </c>
    </row>
    <row r="429" customHeight="1" spans="1:5">
      <c r="A429" s="4">
        <v>427</v>
      </c>
      <c r="B429" s="4" t="str">
        <f>"431720220812152125244370"</f>
        <v>431720220812152125244370</v>
      </c>
      <c r="C429" s="5" t="s">
        <v>6</v>
      </c>
      <c r="D429" s="4" t="str">
        <f>"张曼"</f>
        <v>张曼</v>
      </c>
      <c r="E429" s="4" t="str">
        <f t="shared" ref="E429:E439" si="27">"女"</f>
        <v>女</v>
      </c>
    </row>
    <row r="430" customHeight="1" spans="1:5">
      <c r="A430" s="4">
        <v>428</v>
      </c>
      <c r="B430" s="4" t="str">
        <f>"431720220812154507244408"</f>
        <v>431720220812154507244408</v>
      </c>
      <c r="C430" s="5" t="s">
        <v>6</v>
      </c>
      <c r="D430" s="4" t="str">
        <f>"许琳"</f>
        <v>许琳</v>
      </c>
      <c r="E430" s="4" t="str">
        <f t="shared" si="27"/>
        <v>女</v>
      </c>
    </row>
    <row r="431" customHeight="1" spans="1:5">
      <c r="A431" s="4">
        <v>429</v>
      </c>
      <c r="B431" s="4" t="str">
        <f>"431720220812154646244410"</f>
        <v>431720220812154646244410</v>
      </c>
      <c r="C431" s="5" t="s">
        <v>6</v>
      </c>
      <c r="D431" s="4" t="str">
        <f>"黄晓莹"</f>
        <v>黄晓莹</v>
      </c>
      <c r="E431" s="4" t="str">
        <f t="shared" si="27"/>
        <v>女</v>
      </c>
    </row>
    <row r="432" customHeight="1" spans="1:5">
      <c r="A432" s="4">
        <v>430</v>
      </c>
      <c r="B432" s="4" t="str">
        <f>"431720220812154747244412"</f>
        <v>431720220812154747244412</v>
      </c>
      <c r="C432" s="5" t="s">
        <v>6</v>
      </c>
      <c r="D432" s="4" t="str">
        <f>"洪海花"</f>
        <v>洪海花</v>
      </c>
      <c r="E432" s="4" t="str">
        <f t="shared" si="27"/>
        <v>女</v>
      </c>
    </row>
    <row r="433" customHeight="1" spans="1:5">
      <c r="A433" s="4">
        <v>431</v>
      </c>
      <c r="B433" s="4" t="str">
        <f>"431720220812155120244415"</f>
        <v>431720220812155120244415</v>
      </c>
      <c r="C433" s="5" t="s">
        <v>6</v>
      </c>
      <c r="D433" s="4" t="str">
        <f>"林小丽"</f>
        <v>林小丽</v>
      </c>
      <c r="E433" s="4" t="str">
        <f t="shared" si="27"/>
        <v>女</v>
      </c>
    </row>
    <row r="434" customHeight="1" spans="1:5">
      <c r="A434" s="4">
        <v>432</v>
      </c>
      <c r="B434" s="4" t="str">
        <f>"431720220812155335244419"</f>
        <v>431720220812155335244419</v>
      </c>
      <c r="C434" s="5" t="s">
        <v>6</v>
      </c>
      <c r="D434" s="4" t="str">
        <f>"王传为"</f>
        <v>王传为</v>
      </c>
      <c r="E434" s="4" t="str">
        <f t="shared" si="27"/>
        <v>女</v>
      </c>
    </row>
    <row r="435" customHeight="1" spans="1:5">
      <c r="A435" s="4">
        <v>433</v>
      </c>
      <c r="B435" s="4" t="str">
        <f>"431720220812155354244421"</f>
        <v>431720220812155354244421</v>
      </c>
      <c r="C435" s="5" t="s">
        <v>6</v>
      </c>
      <c r="D435" s="4" t="str">
        <f>"符慧"</f>
        <v>符慧</v>
      </c>
      <c r="E435" s="4" t="str">
        <f t="shared" si="27"/>
        <v>女</v>
      </c>
    </row>
    <row r="436" customHeight="1" spans="1:5">
      <c r="A436" s="4">
        <v>434</v>
      </c>
      <c r="B436" s="4" t="str">
        <f>"431720220812160238244434"</f>
        <v>431720220812160238244434</v>
      </c>
      <c r="C436" s="5" t="s">
        <v>6</v>
      </c>
      <c r="D436" s="4" t="str">
        <f>"黄永芳"</f>
        <v>黄永芳</v>
      </c>
      <c r="E436" s="4" t="str">
        <f t="shared" si="27"/>
        <v>女</v>
      </c>
    </row>
    <row r="437" customHeight="1" spans="1:5">
      <c r="A437" s="4">
        <v>435</v>
      </c>
      <c r="B437" s="4" t="str">
        <f>"431720220812161402244449"</f>
        <v>431720220812161402244449</v>
      </c>
      <c r="C437" s="5" t="s">
        <v>6</v>
      </c>
      <c r="D437" s="4" t="str">
        <f>"杜小妹"</f>
        <v>杜小妹</v>
      </c>
      <c r="E437" s="4" t="str">
        <f t="shared" si="27"/>
        <v>女</v>
      </c>
    </row>
    <row r="438" customHeight="1" spans="1:5">
      <c r="A438" s="4">
        <v>436</v>
      </c>
      <c r="B438" s="4" t="str">
        <f>"431720220812165405244511"</f>
        <v>431720220812165405244511</v>
      </c>
      <c r="C438" s="5" t="s">
        <v>6</v>
      </c>
      <c r="D438" s="4" t="str">
        <f>"张燕慧"</f>
        <v>张燕慧</v>
      </c>
      <c r="E438" s="4" t="str">
        <f t="shared" si="27"/>
        <v>女</v>
      </c>
    </row>
    <row r="439" customHeight="1" spans="1:5">
      <c r="A439" s="4">
        <v>437</v>
      </c>
      <c r="B439" s="4" t="str">
        <f>"431720220806090247231186"</f>
        <v>431720220806090247231186</v>
      </c>
      <c r="C439" s="5" t="s">
        <v>7</v>
      </c>
      <c r="D439" s="4" t="str">
        <f>"柯丽玲"</f>
        <v>柯丽玲</v>
      </c>
      <c r="E439" s="4" t="str">
        <f t="shared" si="27"/>
        <v>女</v>
      </c>
    </row>
    <row r="440" customHeight="1" spans="1:5">
      <c r="A440" s="4">
        <v>438</v>
      </c>
      <c r="B440" s="4" t="str">
        <f>"431720220806090816231200"</f>
        <v>431720220806090816231200</v>
      </c>
      <c r="C440" s="5" t="s">
        <v>7</v>
      </c>
      <c r="D440" s="4" t="str">
        <f>"毛作勤"</f>
        <v>毛作勤</v>
      </c>
      <c r="E440" s="4" t="str">
        <f>"男"</f>
        <v>男</v>
      </c>
    </row>
    <row r="441" customHeight="1" spans="1:5">
      <c r="A441" s="4">
        <v>439</v>
      </c>
      <c r="B441" s="4" t="str">
        <f>"431720220806090841231201"</f>
        <v>431720220806090841231201</v>
      </c>
      <c r="C441" s="5" t="s">
        <v>7</v>
      </c>
      <c r="D441" s="4" t="str">
        <f>"许秋香"</f>
        <v>许秋香</v>
      </c>
      <c r="E441" s="4" t="str">
        <f t="shared" ref="E441:E444" si="28">"女"</f>
        <v>女</v>
      </c>
    </row>
    <row r="442" customHeight="1" spans="1:5">
      <c r="A442" s="4">
        <v>440</v>
      </c>
      <c r="B442" s="4" t="str">
        <f>"431720220806091332231222"</f>
        <v>431720220806091332231222</v>
      </c>
      <c r="C442" s="5" t="s">
        <v>7</v>
      </c>
      <c r="D442" s="4" t="str">
        <f>"许海源"</f>
        <v>许海源</v>
      </c>
      <c r="E442" s="4" t="str">
        <f t="shared" si="28"/>
        <v>女</v>
      </c>
    </row>
    <row r="443" customHeight="1" spans="1:5">
      <c r="A443" s="4">
        <v>441</v>
      </c>
      <c r="B443" s="4" t="str">
        <f>"431720220806092153231249"</f>
        <v>431720220806092153231249</v>
      </c>
      <c r="C443" s="5" t="s">
        <v>7</v>
      </c>
      <c r="D443" s="4" t="str">
        <f>"李琪"</f>
        <v>李琪</v>
      </c>
      <c r="E443" s="4" t="str">
        <f t="shared" si="28"/>
        <v>女</v>
      </c>
    </row>
    <row r="444" customHeight="1" spans="1:5">
      <c r="A444" s="4">
        <v>442</v>
      </c>
      <c r="B444" s="4" t="str">
        <f>"431720220806092749231271"</f>
        <v>431720220806092749231271</v>
      </c>
      <c r="C444" s="5" t="s">
        <v>7</v>
      </c>
      <c r="D444" s="4" t="str">
        <f>"李紫微"</f>
        <v>李紫微</v>
      </c>
      <c r="E444" s="4" t="str">
        <f t="shared" si="28"/>
        <v>女</v>
      </c>
    </row>
    <row r="445" customHeight="1" spans="1:5">
      <c r="A445" s="4">
        <v>443</v>
      </c>
      <c r="B445" s="4" t="str">
        <f>"431720220806094023231304"</f>
        <v>431720220806094023231304</v>
      </c>
      <c r="C445" s="5" t="s">
        <v>7</v>
      </c>
      <c r="D445" s="4" t="str">
        <f>"陈业宝"</f>
        <v>陈业宝</v>
      </c>
      <c r="E445" s="4" t="str">
        <f>"男"</f>
        <v>男</v>
      </c>
    </row>
    <row r="446" customHeight="1" spans="1:5">
      <c r="A446" s="4">
        <v>444</v>
      </c>
      <c r="B446" s="4" t="str">
        <f>"431720220806094629231327"</f>
        <v>431720220806094629231327</v>
      </c>
      <c r="C446" s="5" t="s">
        <v>7</v>
      </c>
      <c r="D446" s="4" t="str">
        <f>"翁陈鑫"</f>
        <v>翁陈鑫</v>
      </c>
      <c r="E446" s="4" t="str">
        <f>"男"</f>
        <v>男</v>
      </c>
    </row>
    <row r="447" customHeight="1" spans="1:5">
      <c r="A447" s="4">
        <v>445</v>
      </c>
      <c r="B447" s="4" t="str">
        <f>"431720220806094713231332"</f>
        <v>431720220806094713231332</v>
      </c>
      <c r="C447" s="5" t="s">
        <v>7</v>
      </c>
      <c r="D447" s="4" t="str">
        <f>"林李杏"</f>
        <v>林李杏</v>
      </c>
      <c r="E447" s="4" t="str">
        <f t="shared" ref="E447:E451" si="29">"女"</f>
        <v>女</v>
      </c>
    </row>
    <row r="448" customHeight="1" spans="1:5">
      <c r="A448" s="4">
        <v>446</v>
      </c>
      <c r="B448" s="4" t="str">
        <f>"431720220806094821231338"</f>
        <v>431720220806094821231338</v>
      </c>
      <c r="C448" s="5" t="s">
        <v>7</v>
      </c>
      <c r="D448" s="4" t="str">
        <f>"杨佳丽"</f>
        <v>杨佳丽</v>
      </c>
      <c r="E448" s="4" t="str">
        <f t="shared" si="29"/>
        <v>女</v>
      </c>
    </row>
    <row r="449" customHeight="1" spans="1:5">
      <c r="A449" s="4">
        <v>447</v>
      </c>
      <c r="B449" s="4" t="str">
        <f>"431720220806100005231374"</f>
        <v>431720220806100005231374</v>
      </c>
      <c r="C449" s="5" t="s">
        <v>7</v>
      </c>
      <c r="D449" s="4" t="str">
        <f>"符丹丽"</f>
        <v>符丹丽</v>
      </c>
      <c r="E449" s="4" t="str">
        <f t="shared" si="29"/>
        <v>女</v>
      </c>
    </row>
    <row r="450" customHeight="1" spans="1:5">
      <c r="A450" s="4">
        <v>448</v>
      </c>
      <c r="B450" s="4" t="str">
        <f>"431720220806100054231377"</f>
        <v>431720220806100054231377</v>
      </c>
      <c r="C450" s="5" t="s">
        <v>7</v>
      </c>
      <c r="D450" s="4" t="str">
        <f>"吴小芳"</f>
        <v>吴小芳</v>
      </c>
      <c r="E450" s="4" t="str">
        <f t="shared" si="29"/>
        <v>女</v>
      </c>
    </row>
    <row r="451" customHeight="1" spans="1:5">
      <c r="A451" s="4">
        <v>449</v>
      </c>
      <c r="B451" s="4" t="str">
        <f>"431720220806102257231446"</f>
        <v>431720220806102257231446</v>
      </c>
      <c r="C451" s="5" t="s">
        <v>7</v>
      </c>
      <c r="D451" s="4" t="str">
        <f>"卢翠娣"</f>
        <v>卢翠娣</v>
      </c>
      <c r="E451" s="4" t="str">
        <f t="shared" si="29"/>
        <v>女</v>
      </c>
    </row>
    <row r="452" customHeight="1" spans="1:5">
      <c r="A452" s="4">
        <v>450</v>
      </c>
      <c r="B452" s="4" t="str">
        <f>"431720220806102848231462"</f>
        <v>431720220806102848231462</v>
      </c>
      <c r="C452" s="5" t="s">
        <v>7</v>
      </c>
      <c r="D452" s="4" t="str">
        <f>"王首道"</f>
        <v>王首道</v>
      </c>
      <c r="E452" s="4" t="str">
        <f t="shared" ref="E452:E455" si="30">"男"</f>
        <v>男</v>
      </c>
    </row>
    <row r="453" customHeight="1" spans="1:5">
      <c r="A453" s="4">
        <v>451</v>
      </c>
      <c r="B453" s="4" t="str">
        <f>"431720220806103615231490"</f>
        <v>431720220806103615231490</v>
      </c>
      <c r="C453" s="5" t="s">
        <v>7</v>
      </c>
      <c r="D453" s="4" t="str">
        <f>"许巍伟"</f>
        <v>许巍伟</v>
      </c>
      <c r="E453" s="4" t="str">
        <f t="shared" si="30"/>
        <v>男</v>
      </c>
    </row>
    <row r="454" customHeight="1" spans="1:5">
      <c r="A454" s="4">
        <v>452</v>
      </c>
      <c r="B454" s="4" t="str">
        <f>"431720220806105222231542"</f>
        <v>431720220806105222231542</v>
      </c>
      <c r="C454" s="5" t="s">
        <v>7</v>
      </c>
      <c r="D454" s="4" t="str">
        <f>"吴丽婷"</f>
        <v>吴丽婷</v>
      </c>
      <c r="E454" s="4" t="str">
        <f t="shared" ref="E454:E458" si="31">"女"</f>
        <v>女</v>
      </c>
    </row>
    <row r="455" customHeight="1" spans="1:5">
      <c r="A455" s="4">
        <v>453</v>
      </c>
      <c r="B455" s="4" t="str">
        <f>"431720220806105431231547"</f>
        <v>431720220806105431231547</v>
      </c>
      <c r="C455" s="5" t="s">
        <v>7</v>
      </c>
      <c r="D455" s="4" t="str">
        <f>"蔡传会"</f>
        <v>蔡传会</v>
      </c>
      <c r="E455" s="4" t="str">
        <f t="shared" si="30"/>
        <v>男</v>
      </c>
    </row>
    <row r="456" customHeight="1" spans="1:5">
      <c r="A456" s="4">
        <v>454</v>
      </c>
      <c r="B456" s="4" t="str">
        <f>"431720220806105643231556"</f>
        <v>431720220806105643231556</v>
      </c>
      <c r="C456" s="5" t="s">
        <v>7</v>
      </c>
      <c r="D456" s="4" t="str">
        <f>"陈小冬"</f>
        <v>陈小冬</v>
      </c>
      <c r="E456" s="4" t="str">
        <f t="shared" si="31"/>
        <v>女</v>
      </c>
    </row>
    <row r="457" customHeight="1" spans="1:5">
      <c r="A457" s="4">
        <v>455</v>
      </c>
      <c r="B457" s="4" t="str">
        <f>"431720220806110100231566"</f>
        <v>431720220806110100231566</v>
      </c>
      <c r="C457" s="5" t="s">
        <v>7</v>
      </c>
      <c r="D457" s="4" t="str">
        <f>"洪真荣"</f>
        <v>洪真荣</v>
      </c>
      <c r="E457" s="4" t="str">
        <f t="shared" si="31"/>
        <v>女</v>
      </c>
    </row>
    <row r="458" customHeight="1" spans="1:5">
      <c r="A458" s="4">
        <v>456</v>
      </c>
      <c r="B458" s="4" t="str">
        <f>"431720220806110812231588"</f>
        <v>431720220806110812231588</v>
      </c>
      <c r="C458" s="5" t="s">
        <v>7</v>
      </c>
      <c r="D458" s="4" t="str">
        <f>"陈丽莹"</f>
        <v>陈丽莹</v>
      </c>
      <c r="E458" s="4" t="str">
        <f t="shared" si="31"/>
        <v>女</v>
      </c>
    </row>
    <row r="459" customHeight="1" spans="1:5">
      <c r="A459" s="4">
        <v>457</v>
      </c>
      <c r="B459" s="4" t="str">
        <f>"431720220806110817231589"</f>
        <v>431720220806110817231589</v>
      </c>
      <c r="C459" s="5" t="s">
        <v>7</v>
      </c>
      <c r="D459" s="4" t="str">
        <f>"邹健峰"</f>
        <v>邹健峰</v>
      </c>
      <c r="E459" s="4" t="str">
        <f>"男"</f>
        <v>男</v>
      </c>
    </row>
    <row r="460" customHeight="1" spans="1:5">
      <c r="A460" s="4">
        <v>458</v>
      </c>
      <c r="B460" s="4" t="str">
        <f>"431720220806111516231611"</f>
        <v>431720220806111516231611</v>
      </c>
      <c r="C460" s="5" t="s">
        <v>7</v>
      </c>
      <c r="D460" s="4" t="str">
        <f>"庞棕月"</f>
        <v>庞棕月</v>
      </c>
      <c r="E460" s="4" t="str">
        <f t="shared" ref="E460:E462" si="32">"女"</f>
        <v>女</v>
      </c>
    </row>
    <row r="461" customHeight="1" spans="1:5">
      <c r="A461" s="4">
        <v>459</v>
      </c>
      <c r="B461" s="4" t="str">
        <f>"431720220806111605231617"</f>
        <v>431720220806111605231617</v>
      </c>
      <c r="C461" s="5" t="s">
        <v>7</v>
      </c>
      <c r="D461" s="4" t="str">
        <f>"裴子音"</f>
        <v>裴子音</v>
      </c>
      <c r="E461" s="4" t="str">
        <f t="shared" si="32"/>
        <v>女</v>
      </c>
    </row>
    <row r="462" customHeight="1" spans="1:5">
      <c r="A462" s="4">
        <v>460</v>
      </c>
      <c r="B462" s="4" t="str">
        <f>"431720220806112117231638"</f>
        <v>431720220806112117231638</v>
      </c>
      <c r="C462" s="5" t="s">
        <v>7</v>
      </c>
      <c r="D462" s="4" t="str">
        <f>"吴哲婷"</f>
        <v>吴哲婷</v>
      </c>
      <c r="E462" s="4" t="str">
        <f t="shared" si="32"/>
        <v>女</v>
      </c>
    </row>
    <row r="463" customHeight="1" spans="1:5">
      <c r="A463" s="4">
        <v>461</v>
      </c>
      <c r="B463" s="4" t="str">
        <f>"431720220806112148231639"</f>
        <v>431720220806112148231639</v>
      </c>
      <c r="C463" s="5" t="s">
        <v>7</v>
      </c>
      <c r="D463" s="4" t="str">
        <f>"李可伟"</f>
        <v>李可伟</v>
      </c>
      <c r="E463" s="4" t="str">
        <f>"男"</f>
        <v>男</v>
      </c>
    </row>
    <row r="464" customHeight="1" spans="1:5">
      <c r="A464" s="4">
        <v>462</v>
      </c>
      <c r="B464" s="4" t="str">
        <f>"431720220806112213231640"</f>
        <v>431720220806112213231640</v>
      </c>
      <c r="C464" s="5" t="s">
        <v>7</v>
      </c>
      <c r="D464" s="4" t="str">
        <f>"周娇慧"</f>
        <v>周娇慧</v>
      </c>
      <c r="E464" s="4" t="str">
        <f t="shared" ref="E464:E467" si="33">"女"</f>
        <v>女</v>
      </c>
    </row>
    <row r="465" customHeight="1" spans="1:5">
      <c r="A465" s="4">
        <v>463</v>
      </c>
      <c r="B465" s="4" t="str">
        <f>"431720220806112430231647"</f>
        <v>431720220806112430231647</v>
      </c>
      <c r="C465" s="5" t="s">
        <v>7</v>
      </c>
      <c r="D465" s="4" t="str">
        <f>"羊妹妙"</f>
        <v>羊妹妙</v>
      </c>
      <c r="E465" s="4" t="str">
        <f t="shared" si="33"/>
        <v>女</v>
      </c>
    </row>
    <row r="466" customHeight="1" spans="1:5">
      <c r="A466" s="4">
        <v>464</v>
      </c>
      <c r="B466" s="4" t="str">
        <f>"431720220806112734231655"</f>
        <v>431720220806112734231655</v>
      </c>
      <c r="C466" s="5" t="s">
        <v>7</v>
      </c>
      <c r="D466" s="4" t="str">
        <f>"麦子爱"</f>
        <v>麦子爱</v>
      </c>
      <c r="E466" s="4" t="str">
        <f t="shared" si="33"/>
        <v>女</v>
      </c>
    </row>
    <row r="467" customHeight="1" spans="1:5">
      <c r="A467" s="4">
        <v>465</v>
      </c>
      <c r="B467" s="4" t="str">
        <f>"431720220806112956231663"</f>
        <v>431720220806112956231663</v>
      </c>
      <c r="C467" s="5" t="s">
        <v>7</v>
      </c>
      <c r="D467" s="4" t="str">
        <f>"王琪瑜"</f>
        <v>王琪瑜</v>
      </c>
      <c r="E467" s="4" t="str">
        <f t="shared" si="33"/>
        <v>女</v>
      </c>
    </row>
    <row r="468" customHeight="1" spans="1:5">
      <c r="A468" s="4">
        <v>466</v>
      </c>
      <c r="B468" s="4" t="str">
        <f>"431720220806115736231745"</f>
        <v>431720220806115736231745</v>
      </c>
      <c r="C468" s="5" t="s">
        <v>7</v>
      </c>
      <c r="D468" s="4" t="str">
        <f>"纪新龙"</f>
        <v>纪新龙</v>
      </c>
      <c r="E468" s="4" t="str">
        <f>"男"</f>
        <v>男</v>
      </c>
    </row>
    <row r="469" customHeight="1" spans="1:5">
      <c r="A469" s="4">
        <v>467</v>
      </c>
      <c r="B469" s="4" t="str">
        <f>"431720220806120029231757"</f>
        <v>431720220806120029231757</v>
      </c>
      <c r="C469" s="5" t="s">
        <v>7</v>
      </c>
      <c r="D469" s="4" t="str">
        <f>"陈淑比"</f>
        <v>陈淑比</v>
      </c>
      <c r="E469" s="4" t="str">
        <f t="shared" ref="E469:E475" si="34">"女"</f>
        <v>女</v>
      </c>
    </row>
    <row r="470" customHeight="1" spans="1:5">
      <c r="A470" s="4">
        <v>468</v>
      </c>
      <c r="B470" s="4" t="str">
        <f>"431720220806121525231794"</f>
        <v>431720220806121525231794</v>
      </c>
      <c r="C470" s="5" t="s">
        <v>7</v>
      </c>
      <c r="D470" s="4" t="str">
        <f>"林美伶"</f>
        <v>林美伶</v>
      </c>
      <c r="E470" s="4" t="str">
        <f t="shared" si="34"/>
        <v>女</v>
      </c>
    </row>
    <row r="471" customHeight="1" spans="1:5">
      <c r="A471" s="4">
        <v>469</v>
      </c>
      <c r="B471" s="4" t="str">
        <f>"431720220806123917231855"</f>
        <v>431720220806123917231855</v>
      </c>
      <c r="C471" s="5" t="s">
        <v>7</v>
      </c>
      <c r="D471" s="4" t="str">
        <f>"张香芳"</f>
        <v>张香芳</v>
      </c>
      <c r="E471" s="4" t="str">
        <f t="shared" si="34"/>
        <v>女</v>
      </c>
    </row>
    <row r="472" customHeight="1" spans="1:5">
      <c r="A472" s="4">
        <v>470</v>
      </c>
      <c r="B472" s="4" t="str">
        <f>"431720220806124342231871"</f>
        <v>431720220806124342231871</v>
      </c>
      <c r="C472" s="5" t="s">
        <v>7</v>
      </c>
      <c r="D472" s="4" t="str">
        <f>"许玉丽"</f>
        <v>许玉丽</v>
      </c>
      <c r="E472" s="4" t="str">
        <f t="shared" si="34"/>
        <v>女</v>
      </c>
    </row>
    <row r="473" customHeight="1" spans="1:5">
      <c r="A473" s="4">
        <v>471</v>
      </c>
      <c r="B473" s="4" t="str">
        <f>"431720220806125023231888"</f>
        <v>431720220806125023231888</v>
      </c>
      <c r="C473" s="5" t="s">
        <v>7</v>
      </c>
      <c r="D473" s="4" t="str">
        <f>"傅圆圆"</f>
        <v>傅圆圆</v>
      </c>
      <c r="E473" s="4" t="str">
        <f t="shared" si="34"/>
        <v>女</v>
      </c>
    </row>
    <row r="474" customHeight="1" spans="1:5">
      <c r="A474" s="4">
        <v>472</v>
      </c>
      <c r="B474" s="4" t="str">
        <f>"431720220806125613231904"</f>
        <v>431720220806125613231904</v>
      </c>
      <c r="C474" s="5" t="s">
        <v>7</v>
      </c>
      <c r="D474" s="4" t="str">
        <f>"谢春梁"</f>
        <v>谢春梁</v>
      </c>
      <c r="E474" s="4" t="str">
        <f t="shared" si="34"/>
        <v>女</v>
      </c>
    </row>
    <row r="475" customHeight="1" spans="1:5">
      <c r="A475" s="4">
        <v>473</v>
      </c>
      <c r="B475" s="4" t="str">
        <f>"431720220806125809231912"</f>
        <v>431720220806125809231912</v>
      </c>
      <c r="C475" s="5" t="s">
        <v>7</v>
      </c>
      <c r="D475" s="4" t="str">
        <f>"陈柳频"</f>
        <v>陈柳频</v>
      </c>
      <c r="E475" s="4" t="str">
        <f t="shared" si="34"/>
        <v>女</v>
      </c>
    </row>
    <row r="476" customHeight="1" spans="1:5">
      <c r="A476" s="4">
        <v>474</v>
      </c>
      <c r="B476" s="4" t="str">
        <f>"431720220806130231231927"</f>
        <v>431720220806130231231927</v>
      </c>
      <c r="C476" s="5" t="s">
        <v>7</v>
      </c>
      <c r="D476" s="4" t="str">
        <f>"卢玉辉"</f>
        <v>卢玉辉</v>
      </c>
      <c r="E476" s="4" t="str">
        <f>"男"</f>
        <v>男</v>
      </c>
    </row>
    <row r="477" customHeight="1" spans="1:5">
      <c r="A477" s="4">
        <v>475</v>
      </c>
      <c r="B477" s="4" t="str">
        <f>"431720220806131958231973"</f>
        <v>431720220806131958231973</v>
      </c>
      <c r="C477" s="5" t="s">
        <v>7</v>
      </c>
      <c r="D477" s="4" t="str">
        <f>"梁梅蕊"</f>
        <v>梁梅蕊</v>
      </c>
      <c r="E477" s="4" t="str">
        <f t="shared" ref="E477:E487" si="35">"女"</f>
        <v>女</v>
      </c>
    </row>
    <row r="478" customHeight="1" spans="1:5">
      <c r="A478" s="4">
        <v>476</v>
      </c>
      <c r="B478" s="4" t="str">
        <f>"431720220806132015231974"</f>
        <v>431720220806132015231974</v>
      </c>
      <c r="C478" s="5" t="s">
        <v>7</v>
      </c>
      <c r="D478" s="4" t="str">
        <f>"陈笑柳"</f>
        <v>陈笑柳</v>
      </c>
      <c r="E478" s="4" t="str">
        <f t="shared" si="35"/>
        <v>女</v>
      </c>
    </row>
    <row r="479" customHeight="1" spans="1:5">
      <c r="A479" s="4">
        <v>477</v>
      </c>
      <c r="B479" s="4" t="str">
        <f>"431720220806132538231985"</f>
        <v>431720220806132538231985</v>
      </c>
      <c r="C479" s="5" t="s">
        <v>7</v>
      </c>
      <c r="D479" s="4" t="str">
        <f>"崔优雅"</f>
        <v>崔优雅</v>
      </c>
      <c r="E479" s="4" t="str">
        <f t="shared" si="35"/>
        <v>女</v>
      </c>
    </row>
    <row r="480" customHeight="1" spans="1:5">
      <c r="A480" s="4">
        <v>478</v>
      </c>
      <c r="B480" s="4" t="str">
        <f>"431720220806134212232023"</f>
        <v>431720220806134212232023</v>
      </c>
      <c r="C480" s="5" t="s">
        <v>7</v>
      </c>
      <c r="D480" s="4" t="str">
        <f>"卢玉秋"</f>
        <v>卢玉秋</v>
      </c>
      <c r="E480" s="4" t="str">
        <f t="shared" si="35"/>
        <v>女</v>
      </c>
    </row>
    <row r="481" customHeight="1" spans="1:5">
      <c r="A481" s="4">
        <v>479</v>
      </c>
      <c r="B481" s="4" t="str">
        <f>"431720220806135028232045"</f>
        <v>431720220806135028232045</v>
      </c>
      <c r="C481" s="5" t="s">
        <v>7</v>
      </c>
      <c r="D481" s="4" t="str">
        <f>"庞方如"</f>
        <v>庞方如</v>
      </c>
      <c r="E481" s="4" t="str">
        <f t="shared" si="35"/>
        <v>女</v>
      </c>
    </row>
    <row r="482" customHeight="1" spans="1:5">
      <c r="A482" s="4">
        <v>480</v>
      </c>
      <c r="B482" s="4" t="str">
        <f>"431720220806135958232063"</f>
        <v>431720220806135958232063</v>
      </c>
      <c r="C482" s="5" t="s">
        <v>7</v>
      </c>
      <c r="D482" s="4" t="str">
        <f>"张丽莎"</f>
        <v>张丽莎</v>
      </c>
      <c r="E482" s="4" t="str">
        <f t="shared" si="35"/>
        <v>女</v>
      </c>
    </row>
    <row r="483" customHeight="1" spans="1:5">
      <c r="A483" s="4">
        <v>481</v>
      </c>
      <c r="B483" s="4" t="str">
        <f>"431720220806140754232081"</f>
        <v>431720220806140754232081</v>
      </c>
      <c r="C483" s="5" t="s">
        <v>7</v>
      </c>
      <c r="D483" s="4" t="str">
        <f>"陈梅芳"</f>
        <v>陈梅芳</v>
      </c>
      <c r="E483" s="4" t="str">
        <f t="shared" si="35"/>
        <v>女</v>
      </c>
    </row>
    <row r="484" customHeight="1" spans="1:5">
      <c r="A484" s="4">
        <v>482</v>
      </c>
      <c r="B484" s="4" t="str">
        <f>"431720220806141656232097"</f>
        <v>431720220806141656232097</v>
      </c>
      <c r="C484" s="5" t="s">
        <v>7</v>
      </c>
      <c r="D484" s="4" t="str">
        <f>"郭倩"</f>
        <v>郭倩</v>
      </c>
      <c r="E484" s="4" t="str">
        <f t="shared" si="35"/>
        <v>女</v>
      </c>
    </row>
    <row r="485" customHeight="1" spans="1:5">
      <c r="A485" s="4">
        <v>483</v>
      </c>
      <c r="B485" s="4" t="str">
        <f>"431720220806142007232102"</f>
        <v>431720220806142007232102</v>
      </c>
      <c r="C485" s="5" t="s">
        <v>7</v>
      </c>
      <c r="D485" s="4" t="str">
        <f>"李洪莉"</f>
        <v>李洪莉</v>
      </c>
      <c r="E485" s="4" t="str">
        <f t="shared" si="35"/>
        <v>女</v>
      </c>
    </row>
    <row r="486" customHeight="1" spans="1:5">
      <c r="A486" s="4">
        <v>484</v>
      </c>
      <c r="B486" s="4" t="str">
        <f>"431720220806142219232105"</f>
        <v>431720220806142219232105</v>
      </c>
      <c r="C486" s="5" t="s">
        <v>7</v>
      </c>
      <c r="D486" s="4" t="str">
        <f>"林必瑶"</f>
        <v>林必瑶</v>
      </c>
      <c r="E486" s="4" t="str">
        <f t="shared" si="35"/>
        <v>女</v>
      </c>
    </row>
    <row r="487" customHeight="1" spans="1:5">
      <c r="A487" s="4">
        <v>485</v>
      </c>
      <c r="B487" s="4" t="str">
        <f>"431720220806144332232145"</f>
        <v>431720220806144332232145</v>
      </c>
      <c r="C487" s="5" t="s">
        <v>7</v>
      </c>
      <c r="D487" s="4" t="str">
        <f>"羊淑芳"</f>
        <v>羊淑芳</v>
      </c>
      <c r="E487" s="4" t="str">
        <f t="shared" si="35"/>
        <v>女</v>
      </c>
    </row>
    <row r="488" customHeight="1" spans="1:5">
      <c r="A488" s="4">
        <v>486</v>
      </c>
      <c r="B488" s="4" t="str">
        <f>"431720220806145354232169"</f>
        <v>431720220806145354232169</v>
      </c>
      <c r="C488" s="5" t="s">
        <v>7</v>
      </c>
      <c r="D488" s="4" t="str">
        <f>"黄光森"</f>
        <v>黄光森</v>
      </c>
      <c r="E488" s="4" t="str">
        <f t="shared" ref="E488:E493" si="36">"男"</f>
        <v>男</v>
      </c>
    </row>
    <row r="489" customHeight="1" spans="1:5">
      <c r="A489" s="4">
        <v>487</v>
      </c>
      <c r="B489" s="4" t="str">
        <f>"431720220806150824232196"</f>
        <v>431720220806150824232196</v>
      </c>
      <c r="C489" s="5" t="s">
        <v>7</v>
      </c>
      <c r="D489" s="4" t="str">
        <f>"郭教雪"</f>
        <v>郭教雪</v>
      </c>
      <c r="E489" s="4" t="str">
        <f t="shared" ref="E489:E492" si="37">"女"</f>
        <v>女</v>
      </c>
    </row>
    <row r="490" customHeight="1" spans="1:5">
      <c r="A490" s="4">
        <v>488</v>
      </c>
      <c r="B490" s="4" t="str">
        <f>"431720220806153846232258"</f>
        <v>431720220806153846232258</v>
      </c>
      <c r="C490" s="5" t="s">
        <v>7</v>
      </c>
      <c r="D490" s="4" t="str">
        <f>"符冬妹"</f>
        <v>符冬妹</v>
      </c>
      <c r="E490" s="4" t="str">
        <f t="shared" si="37"/>
        <v>女</v>
      </c>
    </row>
    <row r="491" customHeight="1" spans="1:5">
      <c r="A491" s="4">
        <v>489</v>
      </c>
      <c r="B491" s="4" t="str">
        <f>"431720220806155043232281"</f>
        <v>431720220806155043232281</v>
      </c>
      <c r="C491" s="5" t="s">
        <v>7</v>
      </c>
      <c r="D491" s="4" t="str">
        <f>"林泽伟"</f>
        <v>林泽伟</v>
      </c>
      <c r="E491" s="4" t="str">
        <f t="shared" si="36"/>
        <v>男</v>
      </c>
    </row>
    <row r="492" customHeight="1" spans="1:5">
      <c r="A492" s="4">
        <v>490</v>
      </c>
      <c r="B492" s="4" t="str">
        <f>"431720220806160651232319"</f>
        <v>431720220806160651232319</v>
      </c>
      <c r="C492" s="5" t="s">
        <v>7</v>
      </c>
      <c r="D492" s="4" t="str">
        <f>"陈秀峰"</f>
        <v>陈秀峰</v>
      </c>
      <c r="E492" s="4" t="str">
        <f t="shared" si="37"/>
        <v>女</v>
      </c>
    </row>
    <row r="493" customHeight="1" spans="1:5">
      <c r="A493" s="4">
        <v>491</v>
      </c>
      <c r="B493" s="4" t="str">
        <f>"431720220806161230232327"</f>
        <v>431720220806161230232327</v>
      </c>
      <c r="C493" s="5" t="s">
        <v>7</v>
      </c>
      <c r="D493" s="4" t="str">
        <f>"王业中"</f>
        <v>王业中</v>
      </c>
      <c r="E493" s="4" t="str">
        <f t="shared" si="36"/>
        <v>男</v>
      </c>
    </row>
    <row r="494" customHeight="1" spans="1:5">
      <c r="A494" s="4">
        <v>492</v>
      </c>
      <c r="B494" s="4" t="str">
        <f>"431720220806161704232335"</f>
        <v>431720220806161704232335</v>
      </c>
      <c r="C494" s="5" t="s">
        <v>7</v>
      </c>
      <c r="D494" s="4" t="str">
        <f>"程琳"</f>
        <v>程琳</v>
      </c>
      <c r="E494" s="4" t="str">
        <f t="shared" ref="E494:E500" si="38">"女"</f>
        <v>女</v>
      </c>
    </row>
    <row r="495" customHeight="1" spans="1:5">
      <c r="A495" s="4">
        <v>493</v>
      </c>
      <c r="B495" s="4" t="str">
        <f>"431720220806161853232336"</f>
        <v>431720220806161853232336</v>
      </c>
      <c r="C495" s="5" t="s">
        <v>7</v>
      </c>
      <c r="D495" s="4" t="str">
        <f>"苏晓婷"</f>
        <v>苏晓婷</v>
      </c>
      <c r="E495" s="4" t="str">
        <f t="shared" si="38"/>
        <v>女</v>
      </c>
    </row>
    <row r="496" customHeight="1" spans="1:5">
      <c r="A496" s="4">
        <v>494</v>
      </c>
      <c r="B496" s="4" t="str">
        <f>"431720220806163207232372"</f>
        <v>431720220806163207232372</v>
      </c>
      <c r="C496" s="5" t="s">
        <v>7</v>
      </c>
      <c r="D496" s="4" t="str">
        <f>"何爱花"</f>
        <v>何爱花</v>
      </c>
      <c r="E496" s="4" t="str">
        <f t="shared" si="38"/>
        <v>女</v>
      </c>
    </row>
    <row r="497" customHeight="1" spans="1:5">
      <c r="A497" s="4">
        <v>495</v>
      </c>
      <c r="B497" s="4" t="str">
        <f>"431720220806171655232455"</f>
        <v>431720220806171655232455</v>
      </c>
      <c r="C497" s="5" t="s">
        <v>7</v>
      </c>
      <c r="D497" s="4" t="str">
        <f>"文惠香"</f>
        <v>文惠香</v>
      </c>
      <c r="E497" s="4" t="str">
        <f t="shared" si="38"/>
        <v>女</v>
      </c>
    </row>
    <row r="498" customHeight="1" spans="1:5">
      <c r="A498" s="4">
        <v>496</v>
      </c>
      <c r="B498" s="4" t="str">
        <f>"431720220806172359232474"</f>
        <v>431720220806172359232474</v>
      </c>
      <c r="C498" s="5" t="s">
        <v>7</v>
      </c>
      <c r="D498" s="4" t="str">
        <f>"秦晶莹"</f>
        <v>秦晶莹</v>
      </c>
      <c r="E498" s="4" t="str">
        <f t="shared" si="38"/>
        <v>女</v>
      </c>
    </row>
    <row r="499" customHeight="1" spans="1:5">
      <c r="A499" s="4">
        <v>497</v>
      </c>
      <c r="B499" s="4" t="str">
        <f>"431720220806173105232487"</f>
        <v>431720220806173105232487</v>
      </c>
      <c r="C499" s="5" t="s">
        <v>7</v>
      </c>
      <c r="D499" s="4" t="str">
        <f>"符青梦"</f>
        <v>符青梦</v>
      </c>
      <c r="E499" s="4" t="str">
        <f t="shared" si="38"/>
        <v>女</v>
      </c>
    </row>
    <row r="500" customHeight="1" spans="1:5">
      <c r="A500" s="4">
        <v>498</v>
      </c>
      <c r="B500" s="4" t="str">
        <f>"431720220806180154232530"</f>
        <v>431720220806180154232530</v>
      </c>
      <c r="C500" s="5" t="s">
        <v>7</v>
      </c>
      <c r="D500" s="4" t="str">
        <f>"陈玲"</f>
        <v>陈玲</v>
      </c>
      <c r="E500" s="4" t="str">
        <f t="shared" si="38"/>
        <v>女</v>
      </c>
    </row>
    <row r="501" customHeight="1" spans="1:5">
      <c r="A501" s="4">
        <v>499</v>
      </c>
      <c r="B501" s="4" t="str">
        <f>"431720220806181250232541"</f>
        <v>431720220806181250232541</v>
      </c>
      <c r="C501" s="5" t="s">
        <v>7</v>
      </c>
      <c r="D501" s="4" t="str">
        <f>"吴应辉"</f>
        <v>吴应辉</v>
      </c>
      <c r="E501" s="4" t="str">
        <f>"男"</f>
        <v>男</v>
      </c>
    </row>
    <row r="502" customHeight="1" spans="1:5">
      <c r="A502" s="4">
        <v>500</v>
      </c>
      <c r="B502" s="4" t="str">
        <f>"431720220806184835232573"</f>
        <v>431720220806184835232573</v>
      </c>
      <c r="C502" s="5" t="s">
        <v>7</v>
      </c>
      <c r="D502" s="4" t="str">
        <f>"梁秀美"</f>
        <v>梁秀美</v>
      </c>
      <c r="E502" s="4" t="str">
        <f t="shared" ref="E502:E511" si="39">"女"</f>
        <v>女</v>
      </c>
    </row>
    <row r="503" customHeight="1" spans="1:5">
      <c r="A503" s="4">
        <v>501</v>
      </c>
      <c r="B503" s="4" t="str">
        <f>"431720220806185200232577"</f>
        <v>431720220806185200232577</v>
      </c>
      <c r="C503" s="5" t="s">
        <v>7</v>
      </c>
      <c r="D503" s="4" t="str">
        <f>"徐欢"</f>
        <v>徐欢</v>
      </c>
      <c r="E503" s="4" t="str">
        <f t="shared" si="39"/>
        <v>女</v>
      </c>
    </row>
    <row r="504" customHeight="1" spans="1:5">
      <c r="A504" s="4">
        <v>502</v>
      </c>
      <c r="B504" s="4" t="str">
        <f>"431720220806185838232583"</f>
        <v>431720220806185838232583</v>
      </c>
      <c r="C504" s="5" t="s">
        <v>7</v>
      </c>
      <c r="D504" s="4" t="str">
        <f>"符春欢"</f>
        <v>符春欢</v>
      </c>
      <c r="E504" s="4" t="str">
        <f t="shared" si="39"/>
        <v>女</v>
      </c>
    </row>
    <row r="505" customHeight="1" spans="1:5">
      <c r="A505" s="4">
        <v>503</v>
      </c>
      <c r="B505" s="4" t="str">
        <f>"431720220806190332232588"</f>
        <v>431720220806190332232588</v>
      </c>
      <c r="C505" s="5" t="s">
        <v>7</v>
      </c>
      <c r="D505" s="4" t="str">
        <f>"王长姑"</f>
        <v>王长姑</v>
      </c>
      <c r="E505" s="4" t="str">
        <f t="shared" si="39"/>
        <v>女</v>
      </c>
    </row>
    <row r="506" customHeight="1" spans="1:5">
      <c r="A506" s="4">
        <v>504</v>
      </c>
      <c r="B506" s="4" t="str">
        <f>"431720220806191237232594"</f>
        <v>431720220806191237232594</v>
      </c>
      <c r="C506" s="5" t="s">
        <v>7</v>
      </c>
      <c r="D506" s="4" t="str">
        <f>"薛芳芳"</f>
        <v>薛芳芳</v>
      </c>
      <c r="E506" s="4" t="str">
        <f t="shared" si="39"/>
        <v>女</v>
      </c>
    </row>
    <row r="507" customHeight="1" spans="1:5">
      <c r="A507" s="4">
        <v>505</v>
      </c>
      <c r="B507" s="4" t="str">
        <f>"431720220806192546232604"</f>
        <v>431720220806192546232604</v>
      </c>
      <c r="C507" s="5" t="s">
        <v>7</v>
      </c>
      <c r="D507" s="4" t="str">
        <f>"吴丽坤"</f>
        <v>吴丽坤</v>
      </c>
      <c r="E507" s="4" t="str">
        <f t="shared" si="39"/>
        <v>女</v>
      </c>
    </row>
    <row r="508" customHeight="1" spans="1:5">
      <c r="A508" s="4">
        <v>506</v>
      </c>
      <c r="B508" s="4" t="str">
        <f>"431720220806192812232605"</f>
        <v>431720220806192812232605</v>
      </c>
      <c r="C508" s="5" t="s">
        <v>7</v>
      </c>
      <c r="D508" s="4" t="str">
        <f>"陈立梅"</f>
        <v>陈立梅</v>
      </c>
      <c r="E508" s="4" t="str">
        <f t="shared" si="39"/>
        <v>女</v>
      </c>
    </row>
    <row r="509" customHeight="1" spans="1:5">
      <c r="A509" s="4">
        <v>507</v>
      </c>
      <c r="B509" s="4" t="str">
        <f>"431720220806192846232606"</f>
        <v>431720220806192846232606</v>
      </c>
      <c r="C509" s="5" t="s">
        <v>7</v>
      </c>
      <c r="D509" s="4" t="str">
        <f>"王青梅"</f>
        <v>王青梅</v>
      </c>
      <c r="E509" s="4" t="str">
        <f t="shared" si="39"/>
        <v>女</v>
      </c>
    </row>
    <row r="510" customHeight="1" spans="1:5">
      <c r="A510" s="4">
        <v>508</v>
      </c>
      <c r="B510" s="4" t="str">
        <f>"431720220806193048232610"</f>
        <v>431720220806193048232610</v>
      </c>
      <c r="C510" s="5" t="s">
        <v>7</v>
      </c>
      <c r="D510" s="4" t="str">
        <f>"肖梦玉"</f>
        <v>肖梦玉</v>
      </c>
      <c r="E510" s="4" t="str">
        <f t="shared" si="39"/>
        <v>女</v>
      </c>
    </row>
    <row r="511" customHeight="1" spans="1:5">
      <c r="A511" s="4">
        <v>509</v>
      </c>
      <c r="B511" s="4" t="str">
        <f>"431720220806193505232616"</f>
        <v>431720220806193505232616</v>
      </c>
      <c r="C511" s="5" t="s">
        <v>7</v>
      </c>
      <c r="D511" s="4" t="str">
        <f>"王玲妹"</f>
        <v>王玲妹</v>
      </c>
      <c r="E511" s="4" t="str">
        <f t="shared" si="39"/>
        <v>女</v>
      </c>
    </row>
    <row r="512" customHeight="1" spans="1:5">
      <c r="A512" s="4">
        <v>510</v>
      </c>
      <c r="B512" s="4" t="str">
        <f>"431720220806194137232630"</f>
        <v>431720220806194137232630</v>
      </c>
      <c r="C512" s="5" t="s">
        <v>7</v>
      </c>
      <c r="D512" s="4" t="str">
        <f>"张基华"</f>
        <v>张基华</v>
      </c>
      <c r="E512" s="4" t="str">
        <f>"男"</f>
        <v>男</v>
      </c>
    </row>
    <row r="513" customHeight="1" spans="1:5">
      <c r="A513" s="4">
        <v>511</v>
      </c>
      <c r="B513" s="4" t="str">
        <f>"431720220806194702232642"</f>
        <v>431720220806194702232642</v>
      </c>
      <c r="C513" s="5" t="s">
        <v>7</v>
      </c>
      <c r="D513" s="4" t="str">
        <f>"张雯昕"</f>
        <v>张雯昕</v>
      </c>
      <c r="E513" s="4" t="str">
        <f t="shared" ref="E513:E518" si="40">"女"</f>
        <v>女</v>
      </c>
    </row>
    <row r="514" customHeight="1" spans="1:5">
      <c r="A514" s="4">
        <v>512</v>
      </c>
      <c r="B514" s="4" t="str">
        <f>"431720220806200138232659"</f>
        <v>431720220806200138232659</v>
      </c>
      <c r="C514" s="5" t="s">
        <v>7</v>
      </c>
      <c r="D514" s="4" t="str">
        <f>"倪海琼"</f>
        <v>倪海琼</v>
      </c>
      <c r="E514" s="4" t="str">
        <f t="shared" si="40"/>
        <v>女</v>
      </c>
    </row>
    <row r="515" customHeight="1" spans="1:5">
      <c r="A515" s="4">
        <v>513</v>
      </c>
      <c r="B515" s="4" t="str">
        <f>"431720220806200246232662"</f>
        <v>431720220806200246232662</v>
      </c>
      <c r="C515" s="5" t="s">
        <v>7</v>
      </c>
      <c r="D515" s="4" t="str">
        <f>"陈映羽"</f>
        <v>陈映羽</v>
      </c>
      <c r="E515" s="4" t="str">
        <f t="shared" si="40"/>
        <v>女</v>
      </c>
    </row>
    <row r="516" customHeight="1" spans="1:5">
      <c r="A516" s="4">
        <v>514</v>
      </c>
      <c r="B516" s="4" t="str">
        <f>"431720220806201911232689"</f>
        <v>431720220806201911232689</v>
      </c>
      <c r="C516" s="5" t="s">
        <v>7</v>
      </c>
      <c r="D516" s="4" t="str">
        <f>"陈赛萍"</f>
        <v>陈赛萍</v>
      </c>
      <c r="E516" s="4" t="str">
        <f t="shared" si="40"/>
        <v>女</v>
      </c>
    </row>
    <row r="517" customHeight="1" spans="1:5">
      <c r="A517" s="4">
        <v>515</v>
      </c>
      <c r="B517" s="4" t="str">
        <f>"431720220806202453232695"</f>
        <v>431720220806202453232695</v>
      </c>
      <c r="C517" s="5" t="s">
        <v>7</v>
      </c>
      <c r="D517" s="4" t="str">
        <f>"钟诗娜"</f>
        <v>钟诗娜</v>
      </c>
      <c r="E517" s="4" t="str">
        <f t="shared" si="40"/>
        <v>女</v>
      </c>
    </row>
    <row r="518" customHeight="1" spans="1:5">
      <c r="A518" s="4">
        <v>516</v>
      </c>
      <c r="B518" s="4" t="str">
        <f>"431720220806202704232696"</f>
        <v>431720220806202704232696</v>
      </c>
      <c r="C518" s="5" t="s">
        <v>7</v>
      </c>
      <c r="D518" s="4" t="str">
        <f>"李秀媚"</f>
        <v>李秀媚</v>
      </c>
      <c r="E518" s="4" t="str">
        <f t="shared" si="40"/>
        <v>女</v>
      </c>
    </row>
    <row r="519" customHeight="1" spans="1:5">
      <c r="A519" s="4">
        <v>517</v>
      </c>
      <c r="B519" s="4" t="str">
        <f>"431720220806205856232725"</f>
        <v>431720220806205856232725</v>
      </c>
      <c r="C519" s="5" t="s">
        <v>7</v>
      </c>
      <c r="D519" s="4" t="str">
        <f>"曾敏善"</f>
        <v>曾敏善</v>
      </c>
      <c r="E519" s="4" t="str">
        <f>"男"</f>
        <v>男</v>
      </c>
    </row>
    <row r="520" customHeight="1" spans="1:5">
      <c r="A520" s="4">
        <v>518</v>
      </c>
      <c r="B520" s="4" t="str">
        <f>"431720220806211850232743"</f>
        <v>431720220806211850232743</v>
      </c>
      <c r="C520" s="5" t="s">
        <v>7</v>
      </c>
      <c r="D520" s="4" t="str">
        <f>"吴婷"</f>
        <v>吴婷</v>
      </c>
      <c r="E520" s="4" t="str">
        <f t="shared" ref="E520:E531" si="41">"女"</f>
        <v>女</v>
      </c>
    </row>
    <row r="521" customHeight="1" spans="1:5">
      <c r="A521" s="4">
        <v>519</v>
      </c>
      <c r="B521" s="4" t="str">
        <f>"431720220806213841232762"</f>
        <v>431720220806213841232762</v>
      </c>
      <c r="C521" s="5" t="s">
        <v>7</v>
      </c>
      <c r="D521" s="4" t="str">
        <f>"林玉涵"</f>
        <v>林玉涵</v>
      </c>
      <c r="E521" s="4" t="str">
        <f t="shared" si="41"/>
        <v>女</v>
      </c>
    </row>
    <row r="522" customHeight="1" spans="1:5">
      <c r="A522" s="4">
        <v>520</v>
      </c>
      <c r="B522" s="4" t="str">
        <f>"431720220806215933232788"</f>
        <v>431720220806215933232788</v>
      </c>
      <c r="C522" s="5" t="s">
        <v>7</v>
      </c>
      <c r="D522" s="4" t="str">
        <f>"吴文孟"</f>
        <v>吴文孟</v>
      </c>
      <c r="E522" s="4" t="str">
        <f>"男"</f>
        <v>男</v>
      </c>
    </row>
    <row r="523" customHeight="1" spans="1:5">
      <c r="A523" s="4">
        <v>521</v>
      </c>
      <c r="B523" s="4" t="str">
        <f>"431720220806215942232789"</f>
        <v>431720220806215942232789</v>
      </c>
      <c r="C523" s="5" t="s">
        <v>7</v>
      </c>
      <c r="D523" s="4" t="str">
        <f>"许小慧"</f>
        <v>许小慧</v>
      </c>
      <c r="E523" s="4" t="str">
        <f t="shared" si="41"/>
        <v>女</v>
      </c>
    </row>
    <row r="524" customHeight="1" spans="1:5">
      <c r="A524" s="4">
        <v>522</v>
      </c>
      <c r="B524" s="4" t="str">
        <f>"431720220806220426232794"</f>
        <v>431720220806220426232794</v>
      </c>
      <c r="C524" s="5" t="s">
        <v>7</v>
      </c>
      <c r="D524" s="4" t="str">
        <f>"王巧梅"</f>
        <v>王巧梅</v>
      </c>
      <c r="E524" s="4" t="str">
        <f t="shared" si="41"/>
        <v>女</v>
      </c>
    </row>
    <row r="525" customHeight="1" spans="1:5">
      <c r="A525" s="4">
        <v>523</v>
      </c>
      <c r="B525" s="4" t="str">
        <f>"431720220806222108232804"</f>
        <v>431720220806222108232804</v>
      </c>
      <c r="C525" s="5" t="s">
        <v>7</v>
      </c>
      <c r="D525" s="4" t="str">
        <f>"蔡佳琪"</f>
        <v>蔡佳琪</v>
      </c>
      <c r="E525" s="4" t="str">
        <f t="shared" si="41"/>
        <v>女</v>
      </c>
    </row>
    <row r="526" customHeight="1" spans="1:5">
      <c r="A526" s="4">
        <v>524</v>
      </c>
      <c r="B526" s="4" t="str">
        <f>"431720220806222159232807"</f>
        <v>431720220806222159232807</v>
      </c>
      <c r="C526" s="5" t="s">
        <v>7</v>
      </c>
      <c r="D526" s="4" t="str">
        <f>"符志茹"</f>
        <v>符志茹</v>
      </c>
      <c r="E526" s="4" t="str">
        <f t="shared" si="41"/>
        <v>女</v>
      </c>
    </row>
    <row r="527" customHeight="1" spans="1:5">
      <c r="A527" s="4">
        <v>525</v>
      </c>
      <c r="B527" s="4" t="str">
        <f>"431720220806223610232818"</f>
        <v>431720220806223610232818</v>
      </c>
      <c r="C527" s="5" t="s">
        <v>7</v>
      </c>
      <c r="D527" s="4" t="str">
        <f>"符桂琼"</f>
        <v>符桂琼</v>
      </c>
      <c r="E527" s="4" t="str">
        <f t="shared" si="41"/>
        <v>女</v>
      </c>
    </row>
    <row r="528" customHeight="1" spans="1:5">
      <c r="A528" s="4">
        <v>526</v>
      </c>
      <c r="B528" s="4" t="str">
        <f>"431720220806224325232824"</f>
        <v>431720220806224325232824</v>
      </c>
      <c r="C528" s="5" t="s">
        <v>7</v>
      </c>
      <c r="D528" s="4" t="str">
        <f>"符耀芬"</f>
        <v>符耀芬</v>
      </c>
      <c r="E528" s="4" t="str">
        <f t="shared" si="41"/>
        <v>女</v>
      </c>
    </row>
    <row r="529" customHeight="1" spans="1:5">
      <c r="A529" s="4">
        <v>527</v>
      </c>
      <c r="B529" s="4" t="str">
        <f>"431720220806232646232849"</f>
        <v>431720220806232646232849</v>
      </c>
      <c r="C529" s="5" t="s">
        <v>7</v>
      </c>
      <c r="D529" s="4" t="str">
        <f>"唐小丽"</f>
        <v>唐小丽</v>
      </c>
      <c r="E529" s="4" t="str">
        <f t="shared" si="41"/>
        <v>女</v>
      </c>
    </row>
    <row r="530" customHeight="1" spans="1:5">
      <c r="A530" s="4">
        <v>528</v>
      </c>
      <c r="B530" s="4" t="str">
        <f>"431720220806234454232867"</f>
        <v>431720220806234454232867</v>
      </c>
      <c r="C530" s="5" t="s">
        <v>7</v>
      </c>
      <c r="D530" s="4" t="str">
        <f>"王伟"</f>
        <v>王伟</v>
      </c>
      <c r="E530" s="4" t="str">
        <f t="shared" si="41"/>
        <v>女</v>
      </c>
    </row>
    <row r="531" customHeight="1" spans="1:5">
      <c r="A531" s="4">
        <v>529</v>
      </c>
      <c r="B531" s="4" t="str">
        <f>"431720220807003828232886"</f>
        <v>431720220807003828232886</v>
      </c>
      <c r="C531" s="5" t="s">
        <v>7</v>
      </c>
      <c r="D531" s="4" t="str">
        <f>"王彩亭"</f>
        <v>王彩亭</v>
      </c>
      <c r="E531" s="4" t="str">
        <f t="shared" si="41"/>
        <v>女</v>
      </c>
    </row>
    <row r="532" customHeight="1" spans="1:5">
      <c r="A532" s="4">
        <v>530</v>
      </c>
      <c r="B532" s="4" t="str">
        <f>"431720220807072820232909"</f>
        <v>431720220807072820232909</v>
      </c>
      <c r="C532" s="5" t="s">
        <v>7</v>
      </c>
      <c r="D532" s="4" t="str">
        <f>"符厚岭"</f>
        <v>符厚岭</v>
      </c>
      <c r="E532" s="4" t="str">
        <f>"男"</f>
        <v>男</v>
      </c>
    </row>
    <row r="533" customHeight="1" spans="1:5">
      <c r="A533" s="4">
        <v>531</v>
      </c>
      <c r="B533" s="4" t="str">
        <f>"431720220807084451232941"</f>
        <v>431720220807084451232941</v>
      </c>
      <c r="C533" s="5" t="s">
        <v>7</v>
      </c>
      <c r="D533" s="4" t="str">
        <f>"邱艳婷"</f>
        <v>邱艳婷</v>
      </c>
      <c r="E533" s="4" t="str">
        <f t="shared" ref="E533:E539" si="42">"女"</f>
        <v>女</v>
      </c>
    </row>
    <row r="534" customHeight="1" spans="1:5">
      <c r="A534" s="4">
        <v>532</v>
      </c>
      <c r="B534" s="4" t="str">
        <f>"431720220807100908233013"</f>
        <v>431720220807100908233013</v>
      </c>
      <c r="C534" s="5" t="s">
        <v>7</v>
      </c>
      <c r="D534" s="4" t="str">
        <f>"陈莹欣"</f>
        <v>陈莹欣</v>
      </c>
      <c r="E534" s="4" t="str">
        <f t="shared" si="42"/>
        <v>女</v>
      </c>
    </row>
    <row r="535" customHeight="1" spans="1:5">
      <c r="A535" s="4">
        <v>533</v>
      </c>
      <c r="B535" s="4" t="str">
        <f>"431720220807102858233033"</f>
        <v>431720220807102858233033</v>
      </c>
      <c r="C535" s="5" t="s">
        <v>7</v>
      </c>
      <c r="D535" s="4" t="str">
        <f>"龙文强"</f>
        <v>龙文强</v>
      </c>
      <c r="E535" s="4" t="str">
        <f>"男"</f>
        <v>男</v>
      </c>
    </row>
    <row r="536" customHeight="1" spans="1:5">
      <c r="A536" s="4">
        <v>534</v>
      </c>
      <c r="B536" s="4" t="str">
        <f>"431720220807114509233107"</f>
        <v>431720220807114509233107</v>
      </c>
      <c r="C536" s="5" t="s">
        <v>7</v>
      </c>
      <c r="D536" s="4" t="str">
        <f>"杨怡卓"</f>
        <v>杨怡卓</v>
      </c>
      <c r="E536" s="4" t="str">
        <f t="shared" si="42"/>
        <v>女</v>
      </c>
    </row>
    <row r="537" customHeight="1" spans="1:5">
      <c r="A537" s="4">
        <v>535</v>
      </c>
      <c r="B537" s="4" t="str">
        <f>"431720220807115050233114"</f>
        <v>431720220807115050233114</v>
      </c>
      <c r="C537" s="5" t="s">
        <v>7</v>
      </c>
      <c r="D537" s="4" t="str">
        <f>"刘佳欣"</f>
        <v>刘佳欣</v>
      </c>
      <c r="E537" s="4" t="str">
        <f t="shared" si="42"/>
        <v>女</v>
      </c>
    </row>
    <row r="538" customHeight="1" spans="1:5">
      <c r="A538" s="4">
        <v>536</v>
      </c>
      <c r="B538" s="4" t="str">
        <f>"431720220807130841233185"</f>
        <v>431720220807130841233185</v>
      </c>
      <c r="C538" s="5" t="s">
        <v>7</v>
      </c>
      <c r="D538" s="4" t="str">
        <f>"梁嫚"</f>
        <v>梁嫚</v>
      </c>
      <c r="E538" s="4" t="str">
        <f t="shared" si="42"/>
        <v>女</v>
      </c>
    </row>
    <row r="539" customHeight="1" spans="1:5">
      <c r="A539" s="4">
        <v>537</v>
      </c>
      <c r="B539" s="4" t="str">
        <f>"431720220807140947233241"</f>
        <v>431720220807140947233241</v>
      </c>
      <c r="C539" s="5" t="s">
        <v>7</v>
      </c>
      <c r="D539" s="4" t="str">
        <f>"苏琳斐"</f>
        <v>苏琳斐</v>
      </c>
      <c r="E539" s="4" t="str">
        <f t="shared" si="42"/>
        <v>女</v>
      </c>
    </row>
    <row r="540" customHeight="1" spans="1:5">
      <c r="A540" s="4">
        <v>538</v>
      </c>
      <c r="B540" s="4" t="str">
        <f>"431720220807142742233261"</f>
        <v>431720220807142742233261</v>
      </c>
      <c r="C540" s="5" t="s">
        <v>7</v>
      </c>
      <c r="D540" s="4" t="str">
        <f>"吴杰"</f>
        <v>吴杰</v>
      </c>
      <c r="E540" s="4" t="str">
        <f t="shared" ref="E540:E546" si="43">"男"</f>
        <v>男</v>
      </c>
    </row>
    <row r="541" customHeight="1" spans="1:5">
      <c r="A541" s="4">
        <v>539</v>
      </c>
      <c r="B541" s="4" t="str">
        <f>"431720220807144156233274"</f>
        <v>431720220807144156233274</v>
      </c>
      <c r="C541" s="5" t="s">
        <v>7</v>
      </c>
      <c r="D541" s="4" t="str">
        <f>"卢瑞美"</f>
        <v>卢瑞美</v>
      </c>
      <c r="E541" s="4" t="str">
        <f>"女"</f>
        <v>女</v>
      </c>
    </row>
    <row r="542" customHeight="1" spans="1:5">
      <c r="A542" s="4">
        <v>540</v>
      </c>
      <c r="B542" s="4" t="str">
        <f>"431720220807151105233293"</f>
        <v>431720220807151105233293</v>
      </c>
      <c r="C542" s="5" t="s">
        <v>7</v>
      </c>
      <c r="D542" s="4" t="str">
        <f>"钟昌霖"</f>
        <v>钟昌霖</v>
      </c>
      <c r="E542" s="4" t="str">
        <f t="shared" si="43"/>
        <v>男</v>
      </c>
    </row>
    <row r="543" customHeight="1" spans="1:5">
      <c r="A543" s="4">
        <v>541</v>
      </c>
      <c r="B543" s="4" t="str">
        <f>"431720220807152449233318"</f>
        <v>431720220807152449233318</v>
      </c>
      <c r="C543" s="5" t="s">
        <v>7</v>
      </c>
      <c r="D543" s="4" t="str">
        <f>"钟金倍"</f>
        <v>钟金倍</v>
      </c>
      <c r="E543" s="4" t="str">
        <f t="shared" ref="E543:E567" si="44">"女"</f>
        <v>女</v>
      </c>
    </row>
    <row r="544" customHeight="1" spans="1:5">
      <c r="A544" s="4">
        <v>542</v>
      </c>
      <c r="B544" s="4" t="str">
        <f>"431720220807161652233382"</f>
        <v>431720220807161652233382</v>
      </c>
      <c r="C544" s="5" t="s">
        <v>7</v>
      </c>
      <c r="D544" s="4" t="str">
        <f>"林喜生"</f>
        <v>林喜生</v>
      </c>
      <c r="E544" s="4" t="str">
        <f t="shared" si="43"/>
        <v>男</v>
      </c>
    </row>
    <row r="545" customHeight="1" spans="1:5">
      <c r="A545" s="4">
        <v>543</v>
      </c>
      <c r="B545" s="4" t="str">
        <f>"431720220807161924233389"</f>
        <v>431720220807161924233389</v>
      </c>
      <c r="C545" s="5" t="s">
        <v>7</v>
      </c>
      <c r="D545" s="4" t="str">
        <f>"王宁"</f>
        <v>王宁</v>
      </c>
      <c r="E545" s="4" t="str">
        <f t="shared" si="43"/>
        <v>男</v>
      </c>
    </row>
    <row r="546" customHeight="1" spans="1:5">
      <c r="A546" s="4">
        <v>544</v>
      </c>
      <c r="B546" s="4" t="str">
        <f>"431720220807164352233413"</f>
        <v>431720220807164352233413</v>
      </c>
      <c r="C546" s="5" t="s">
        <v>7</v>
      </c>
      <c r="D546" s="4" t="str">
        <f>"蒋乾泽"</f>
        <v>蒋乾泽</v>
      </c>
      <c r="E546" s="4" t="str">
        <f t="shared" si="43"/>
        <v>男</v>
      </c>
    </row>
    <row r="547" customHeight="1" spans="1:5">
      <c r="A547" s="4">
        <v>545</v>
      </c>
      <c r="B547" s="4" t="str">
        <f>"431720220807172254233451"</f>
        <v>431720220807172254233451</v>
      </c>
      <c r="C547" s="5" t="s">
        <v>7</v>
      </c>
      <c r="D547" s="4" t="str">
        <f>"邱宇"</f>
        <v>邱宇</v>
      </c>
      <c r="E547" s="4" t="str">
        <f t="shared" si="44"/>
        <v>女</v>
      </c>
    </row>
    <row r="548" customHeight="1" spans="1:5">
      <c r="A548" s="4">
        <v>546</v>
      </c>
      <c r="B548" s="4" t="str">
        <f>"431720220807181153233486"</f>
        <v>431720220807181153233486</v>
      </c>
      <c r="C548" s="5" t="s">
        <v>7</v>
      </c>
      <c r="D548" s="4" t="str">
        <f>"陈小妹"</f>
        <v>陈小妹</v>
      </c>
      <c r="E548" s="4" t="str">
        <f t="shared" si="44"/>
        <v>女</v>
      </c>
    </row>
    <row r="549" customHeight="1" spans="1:5">
      <c r="A549" s="4">
        <v>547</v>
      </c>
      <c r="B549" s="4" t="str">
        <f>"431720220807181648233490"</f>
        <v>431720220807181648233490</v>
      </c>
      <c r="C549" s="5" t="s">
        <v>7</v>
      </c>
      <c r="D549" s="4" t="str">
        <f>"王可盈"</f>
        <v>王可盈</v>
      </c>
      <c r="E549" s="4" t="str">
        <f t="shared" si="44"/>
        <v>女</v>
      </c>
    </row>
    <row r="550" customHeight="1" spans="1:5">
      <c r="A550" s="4">
        <v>548</v>
      </c>
      <c r="B550" s="4" t="str">
        <f>"431720220807190116233512"</f>
        <v>431720220807190116233512</v>
      </c>
      <c r="C550" s="5" t="s">
        <v>7</v>
      </c>
      <c r="D550" s="4" t="str">
        <f>"陈艺灵"</f>
        <v>陈艺灵</v>
      </c>
      <c r="E550" s="4" t="str">
        <f t="shared" si="44"/>
        <v>女</v>
      </c>
    </row>
    <row r="551" customHeight="1" spans="1:5">
      <c r="A551" s="4">
        <v>549</v>
      </c>
      <c r="B551" s="4" t="str">
        <f>"431720220807194529233532"</f>
        <v>431720220807194529233532</v>
      </c>
      <c r="C551" s="5" t="s">
        <v>7</v>
      </c>
      <c r="D551" s="4" t="str">
        <f>"林赛苦"</f>
        <v>林赛苦</v>
      </c>
      <c r="E551" s="4" t="str">
        <f t="shared" si="44"/>
        <v>女</v>
      </c>
    </row>
    <row r="552" customHeight="1" spans="1:5">
      <c r="A552" s="4">
        <v>550</v>
      </c>
      <c r="B552" s="4" t="str">
        <f>"431720220807195248233533"</f>
        <v>431720220807195248233533</v>
      </c>
      <c r="C552" s="5" t="s">
        <v>7</v>
      </c>
      <c r="D552" s="4" t="str">
        <f>"吴瑞云"</f>
        <v>吴瑞云</v>
      </c>
      <c r="E552" s="4" t="str">
        <f t="shared" si="44"/>
        <v>女</v>
      </c>
    </row>
    <row r="553" customHeight="1" spans="1:5">
      <c r="A553" s="4">
        <v>551</v>
      </c>
      <c r="B553" s="4" t="str">
        <f>"431720220807200922233545"</f>
        <v>431720220807200922233545</v>
      </c>
      <c r="C553" s="5" t="s">
        <v>7</v>
      </c>
      <c r="D553" s="4" t="str">
        <f>"周三女"</f>
        <v>周三女</v>
      </c>
      <c r="E553" s="4" t="str">
        <f t="shared" si="44"/>
        <v>女</v>
      </c>
    </row>
    <row r="554" customHeight="1" spans="1:5">
      <c r="A554" s="4">
        <v>552</v>
      </c>
      <c r="B554" s="4" t="str">
        <f>"431720220807201743233553"</f>
        <v>431720220807201743233553</v>
      </c>
      <c r="C554" s="5" t="s">
        <v>7</v>
      </c>
      <c r="D554" s="4" t="str">
        <f>"王书美"</f>
        <v>王书美</v>
      </c>
      <c r="E554" s="4" t="str">
        <f t="shared" si="44"/>
        <v>女</v>
      </c>
    </row>
    <row r="555" customHeight="1" spans="1:5">
      <c r="A555" s="4">
        <v>553</v>
      </c>
      <c r="B555" s="4" t="str">
        <f>"431720220807203045233561"</f>
        <v>431720220807203045233561</v>
      </c>
      <c r="C555" s="5" t="s">
        <v>7</v>
      </c>
      <c r="D555" s="4" t="str">
        <f>"李振英"</f>
        <v>李振英</v>
      </c>
      <c r="E555" s="4" t="str">
        <f t="shared" si="44"/>
        <v>女</v>
      </c>
    </row>
    <row r="556" customHeight="1" spans="1:5">
      <c r="A556" s="4">
        <v>554</v>
      </c>
      <c r="B556" s="4" t="str">
        <f>"431720220807205152233573"</f>
        <v>431720220807205152233573</v>
      </c>
      <c r="C556" s="5" t="s">
        <v>7</v>
      </c>
      <c r="D556" s="4" t="str">
        <f>"陈芳"</f>
        <v>陈芳</v>
      </c>
      <c r="E556" s="4" t="str">
        <f t="shared" si="44"/>
        <v>女</v>
      </c>
    </row>
    <row r="557" customHeight="1" spans="1:5">
      <c r="A557" s="4">
        <v>555</v>
      </c>
      <c r="B557" s="4" t="str">
        <f>"431720220807212035233591"</f>
        <v>431720220807212035233591</v>
      </c>
      <c r="C557" s="5" t="s">
        <v>7</v>
      </c>
      <c r="D557" s="4" t="str">
        <f>"王紫薇"</f>
        <v>王紫薇</v>
      </c>
      <c r="E557" s="4" t="str">
        <f t="shared" si="44"/>
        <v>女</v>
      </c>
    </row>
    <row r="558" customHeight="1" spans="1:5">
      <c r="A558" s="4">
        <v>556</v>
      </c>
      <c r="B558" s="4" t="str">
        <f>"431720220807212740233596"</f>
        <v>431720220807212740233596</v>
      </c>
      <c r="C558" s="5" t="s">
        <v>7</v>
      </c>
      <c r="D558" s="4" t="str">
        <f>"陈文珍"</f>
        <v>陈文珍</v>
      </c>
      <c r="E558" s="4" t="str">
        <f t="shared" si="44"/>
        <v>女</v>
      </c>
    </row>
    <row r="559" customHeight="1" spans="1:5">
      <c r="A559" s="4">
        <v>557</v>
      </c>
      <c r="B559" s="4" t="str">
        <f>"431720220807223227233638"</f>
        <v>431720220807223227233638</v>
      </c>
      <c r="C559" s="5" t="s">
        <v>7</v>
      </c>
      <c r="D559" s="4" t="str">
        <f>"莫小玲"</f>
        <v>莫小玲</v>
      </c>
      <c r="E559" s="4" t="str">
        <f t="shared" si="44"/>
        <v>女</v>
      </c>
    </row>
    <row r="560" customHeight="1" spans="1:5">
      <c r="A560" s="4">
        <v>558</v>
      </c>
      <c r="B560" s="4" t="str">
        <f>"431720220807231814233659"</f>
        <v>431720220807231814233659</v>
      </c>
      <c r="C560" s="5" t="s">
        <v>7</v>
      </c>
      <c r="D560" s="4" t="str">
        <f>"林小玲"</f>
        <v>林小玲</v>
      </c>
      <c r="E560" s="4" t="str">
        <f t="shared" si="44"/>
        <v>女</v>
      </c>
    </row>
    <row r="561" customHeight="1" spans="1:5">
      <c r="A561" s="4">
        <v>559</v>
      </c>
      <c r="B561" s="4" t="str">
        <f>"431720220807233449233669"</f>
        <v>431720220807233449233669</v>
      </c>
      <c r="C561" s="5" t="s">
        <v>7</v>
      </c>
      <c r="D561" s="4" t="str">
        <f>"陈凤旋"</f>
        <v>陈凤旋</v>
      </c>
      <c r="E561" s="4" t="str">
        <f t="shared" si="44"/>
        <v>女</v>
      </c>
    </row>
    <row r="562" customHeight="1" spans="1:5">
      <c r="A562" s="4">
        <v>560</v>
      </c>
      <c r="B562" s="4" t="str">
        <f>"431720220808020459233690"</f>
        <v>431720220808020459233690</v>
      </c>
      <c r="C562" s="5" t="s">
        <v>7</v>
      </c>
      <c r="D562" s="4" t="str">
        <f>"韩宜"</f>
        <v>韩宜</v>
      </c>
      <c r="E562" s="4" t="str">
        <f t="shared" si="44"/>
        <v>女</v>
      </c>
    </row>
    <row r="563" customHeight="1" spans="1:5">
      <c r="A563" s="4">
        <v>561</v>
      </c>
      <c r="B563" s="4" t="str">
        <f>"431720220808074558233701"</f>
        <v>431720220808074558233701</v>
      </c>
      <c r="C563" s="5" t="s">
        <v>7</v>
      </c>
      <c r="D563" s="4" t="str">
        <f>"马素妹"</f>
        <v>马素妹</v>
      </c>
      <c r="E563" s="4" t="str">
        <f t="shared" si="44"/>
        <v>女</v>
      </c>
    </row>
    <row r="564" customHeight="1" spans="1:5">
      <c r="A564" s="4">
        <v>562</v>
      </c>
      <c r="B564" s="4" t="str">
        <f>"431720220808085708233947"</f>
        <v>431720220808085708233947</v>
      </c>
      <c r="C564" s="5" t="s">
        <v>7</v>
      </c>
      <c r="D564" s="4" t="str">
        <f>"符慧慧"</f>
        <v>符慧慧</v>
      </c>
      <c r="E564" s="4" t="str">
        <f t="shared" si="44"/>
        <v>女</v>
      </c>
    </row>
    <row r="565" customHeight="1" spans="1:5">
      <c r="A565" s="4">
        <v>563</v>
      </c>
      <c r="B565" s="4" t="str">
        <f>"431720220808091051234059"</f>
        <v>431720220808091051234059</v>
      </c>
      <c r="C565" s="5" t="s">
        <v>7</v>
      </c>
      <c r="D565" s="4" t="str">
        <f>"黄玉宝"</f>
        <v>黄玉宝</v>
      </c>
      <c r="E565" s="4" t="str">
        <f t="shared" si="44"/>
        <v>女</v>
      </c>
    </row>
    <row r="566" customHeight="1" spans="1:5">
      <c r="A566" s="4">
        <v>564</v>
      </c>
      <c r="B566" s="4" t="str">
        <f>"431720220808094737234356"</f>
        <v>431720220808094737234356</v>
      </c>
      <c r="C566" s="5" t="s">
        <v>7</v>
      </c>
      <c r="D566" s="4" t="str">
        <f>"陈江红"</f>
        <v>陈江红</v>
      </c>
      <c r="E566" s="4" t="str">
        <f t="shared" si="44"/>
        <v>女</v>
      </c>
    </row>
    <row r="567" customHeight="1" spans="1:5">
      <c r="A567" s="4">
        <v>565</v>
      </c>
      <c r="B567" s="4" t="str">
        <f>"431720220808101529234527"</f>
        <v>431720220808101529234527</v>
      </c>
      <c r="C567" s="5" t="s">
        <v>7</v>
      </c>
      <c r="D567" s="4" t="str">
        <f>"朱金丽"</f>
        <v>朱金丽</v>
      </c>
      <c r="E567" s="4" t="str">
        <f t="shared" si="44"/>
        <v>女</v>
      </c>
    </row>
    <row r="568" customHeight="1" spans="1:5">
      <c r="A568" s="4">
        <v>566</v>
      </c>
      <c r="B568" s="4" t="str">
        <f>"431720220808102040234559"</f>
        <v>431720220808102040234559</v>
      </c>
      <c r="C568" s="5" t="s">
        <v>7</v>
      </c>
      <c r="D568" s="4" t="str">
        <f>"梁日康"</f>
        <v>梁日康</v>
      </c>
      <c r="E568" s="4" t="str">
        <f>"男"</f>
        <v>男</v>
      </c>
    </row>
    <row r="569" customHeight="1" spans="1:5">
      <c r="A569" s="4">
        <v>567</v>
      </c>
      <c r="B569" s="4" t="str">
        <f>"431720220808103631234663"</f>
        <v>431720220808103631234663</v>
      </c>
      <c r="C569" s="5" t="s">
        <v>7</v>
      </c>
      <c r="D569" s="4" t="str">
        <f>"符星夏"</f>
        <v>符星夏</v>
      </c>
      <c r="E569" s="4" t="str">
        <f t="shared" ref="E569:E579" si="45">"女"</f>
        <v>女</v>
      </c>
    </row>
    <row r="570" customHeight="1" spans="1:5">
      <c r="A570" s="4">
        <v>568</v>
      </c>
      <c r="B570" s="4" t="str">
        <f>"431720220808110915234851"</f>
        <v>431720220808110915234851</v>
      </c>
      <c r="C570" s="5" t="s">
        <v>7</v>
      </c>
      <c r="D570" s="4" t="str">
        <f>"李绪成"</f>
        <v>李绪成</v>
      </c>
      <c r="E570" s="4" t="str">
        <f>"男"</f>
        <v>男</v>
      </c>
    </row>
    <row r="571" customHeight="1" spans="1:5">
      <c r="A571" s="4">
        <v>569</v>
      </c>
      <c r="B571" s="4" t="str">
        <f>"431720220808112039234901"</f>
        <v>431720220808112039234901</v>
      </c>
      <c r="C571" s="5" t="s">
        <v>7</v>
      </c>
      <c r="D571" s="4" t="str">
        <f>"吴用短"</f>
        <v>吴用短</v>
      </c>
      <c r="E571" s="4" t="str">
        <f t="shared" si="45"/>
        <v>女</v>
      </c>
    </row>
    <row r="572" customHeight="1" spans="1:5">
      <c r="A572" s="4">
        <v>570</v>
      </c>
      <c r="B572" s="4" t="str">
        <f>"431720220808120140235070"</f>
        <v>431720220808120140235070</v>
      </c>
      <c r="C572" s="5" t="s">
        <v>7</v>
      </c>
      <c r="D572" s="4" t="str">
        <f>"李青"</f>
        <v>李青</v>
      </c>
      <c r="E572" s="4" t="str">
        <f t="shared" si="45"/>
        <v>女</v>
      </c>
    </row>
    <row r="573" customHeight="1" spans="1:5">
      <c r="A573" s="4">
        <v>571</v>
      </c>
      <c r="B573" s="4" t="str">
        <f>"431720220808120856235095"</f>
        <v>431720220808120856235095</v>
      </c>
      <c r="C573" s="5" t="s">
        <v>7</v>
      </c>
      <c r="D573" s="4" t="str">
        <f>"许时花"</f>
        <v>许时花</v>
      </c>
      <c r="E573" s="4" t="str">
        <f t="shared" si="45"/>
        <v>女</v>
      </c>
    </row>
    <row r="574" customHeight="1" spans="1:5">
      <c r="A574" s="4">
        <v>572</v>
      </c>
      <c r="B574" s="4" t="str">
        <f>"431720220808124701235227"</f>
        <v>431720220808124701235227</v>
      </c>
      <c r="C574" s="5" t="s">
        <v>7</v>
      </c>
      <c r="D574" s="4" t="str">
        <f>"赵月莲"</f>
        <v>赵月莲</v>
      </c>
      <c r="E574" s="4" t="str">
        <f t="shared" si="45"/>
        <v>女</v>
      </c>
    </row>
    <row r="575" customHeight="1" spans="1:5">
      <c r="A575" s="4">
        <v>573</v>
      </c>
      <c r="B575" s="4" t="str">
        <f>"431720220808130816235295"</f>
        <v>431720220808130816235295</v>
      </c>
      <c r="C575" s="5" t="s">
        <v>7</v>
      </c>
      <c r="D575" s="4" t="str">
        <f>"王莹莹"</f>
        <v>王莹莹</v>
      </c>
      <c r="E575" s="4" t="str">
        <f t="shared" si="45"/>
        <v>女</v>
      </c>
    </row>
    <row r="576" customHeight="1" spans="1:5">
      <c r="A576" s="4">
        <v>574</v>
      </c>
      <c r="B576" s="4" t="str">
        <f>"431720220808142317235481"</f>
        <v>431720220808142317235481</v>
      </c>
      <c r="C576" s="5" t="s">
        <v>7</v>
      </c>
      <c r="D576" s="4" t="str">
        <f>"王茹倩"</f>
        <v>王茹倩</v>
      </c>
      <c r="E576" s="4" t="str">
        <f t="shared" si="45"/>
        <v>女</v>
      </c>
    </row>
    <row r="577" customHeight="1" spans="1:5">
      <c r="A577" s="4">
        <v>575</v>
      </c>
      <c r="B577" s="4" t="str">
        <f>"431720220808144351235544"</f>
        <v>431720220808144351235544</v>
      </c>
      <c r="C577" s="5" t="s">
        <v>7</v>
      </c>
      <c r="D577" s="4" t="str">
        <f>"王帝舒"</f>
        <v>王帝舒</v>
      </c>
      <c r="E577" s="4" t="str">
        <f t="shared" si="45"/>
        <v>女</v>
      </c>
    </row>
    <row r="578" customHeight="1" spans="1:5">
      <c r="A578" s="4">
        <v>576</v>
      </c>
      <c r="B578" s="4" t="str">
        <f>"431720220808145920235590"</f>
        <v>431720220808145920235590</v>
      </c>
      <c r="C578" s="5" t="s">
        <v>7</v>
      </c>
      <c r="D578" s="4" t="str">
        <f>"邱名巧"</f>
        <v>邱名巧</v>
      </c>
      <c r="E578" s="4" t="str">
        <f t="shared" si="45"/>
        <v>女</v>
      </c>
    </row>
    <row r="579" customHeight="1" spans="1:5">
      <c r="A579" s="4">
        <v>577</v>
      </c>
      <c r="B579" s="4" t="str">
        <f>"431720220808150143235605"</f>
        <v>431720220808150143235605</v>
      </c>
      <c r="C579" s="5" t="s">
        <v>7</v>
      </c>
      <c r="D579" s="4" t="str">
        <f>"林颖"</f>
        <v>林颖</v>
      </c>
      <c r="E579" s="4" t="str">
        <f t="shared" si="45"/>
        <v>女</v>
      </c>
    </row>
    <row r="580" customHeight="1" spans="1:5">
      <c r="A580" s="4">
        <v>578</v>
      </c>
      <c r="B580" s="4" t="str">
        <f>"431720220808160043235805"</f>
        <v>431720220808160043235805</v>
      </c>
      <c r="C580" s="5" t="s">
        <v>7</v>
      </c>
      <c r="D580" s="4" t="str">
        <f>"王凤神"</f>
        <v>王凤神</v>
      </c>
      <c r="E580" s="4" t="str">
        <f>"男"</f>
        <v>男</v>
      </c>
    </row>
    <row r="581" customHeight="1" spans="1:5">
      <c r="A581" s="4">
        <v>579</v>
      </c>
      <c r="B581" s="4" t="str">
        <f>"431720220808160507235820"</f>
        <v>431720220808160507235820</v>
      </c>
      <c r="C581" s="5" t="s">
        <v>7</v>
      </c>
      <c r="D581" s="4" t="str">
        <f>"王兰"</f>
        <v>王兰</v>
      </c>
      <c r="E581" s="4" t="str">
        <f t="shared" ref="E581:E595" si="46">"女"</f>
        <v>女</v>
      </c>
    </row>
    <row r="582" customHeight="1" spans="1:5">
      <c r="A582" s="4">
        <v>580</v>
      </c>
      <c r="B582" s="4" t="str">
        <f>"431720220808161126235837"</f>
        <v>431720220808161126235837</v>
      </c>
      <c r="C582" s="5" t="s">
        <v>7</v>
      </c>
      <c r="D582" s="4" t="str">
        <f>"李京栗"</f>
        <v>李京栗</v>
      </c>
      <c r="E582" s="4" t="str">
        <f t="shared" si="46"/>
        <v>女</v>
      </c>
    </row>
    <row r="583" customHeight="1" spans="1:5">
      <c r="A583" s="4">
        <v>581</v>
      </c>
      <c r="B583" s="4" t="str">
        <f>"431720220808164231235937"</f>
        <v>431720220808164231235937</v>
      </c>
      <c r="C583" s="5" t="s">
        <v>7</v>
      </c>
      <c r="D583" s="4" t="str">
        <f>"陈送玲"</f>
        <v>陈送玲</v>
      </c>
      <c r="E583" s="4" t="str">
        <f t="shared" si="46"/>
        <v>女</v>
      </c>
    </row>
    <row r="584" customHeight="1" spans="1:5">
      <c r="A584" s="4">
        <v>582</v>
      </c>
      <c r="B584" s="4" t="str">
        <f>"431720220808165858235995"</f>
        <v>431720220808165858235995</v>
      </c>
      <c r="C584" s="5" t="s">
        <v>7</v>
      </c>
      <c r="D584" s="4" t="str">
        <f>"林施妹"</f>
        <v>林施妹</v>
      </c>
      <c r="E584" s="4" t="str">
        <f t="shared" si="46"/>
        <v>女</v>
      </c>
    </row>
    <row r="585" customHeight="1" spans="1:5">
      <c r="A585" s="4">
        <v>583</v>
      </c>
      <c r="B585" s="4" t="str">
        <f>"431720220808174948236154"</f>
        <v>431720220808174948236154</v>
      </c>
      <c r="C585" s="5" t="s">
        <v>7</v>
      </c>
      <c r="D585" s="4" t="str">
        <f>"刘玲叶"</f>
        <v>刘玲叶</v>
      </c>
      <c r="E585" s="4" t="str">
        <f t="shared" si="46"/>
        <v>女</v>
      </c>
    </row>
    <row r="586" customHeight="1" spans="1:5">
      <c r="A586" s="4">
        <v>584</v>
      </c>
      <c r="B586" s="4" t="str">
        <f>"431720220808182109236225"</f>
        <v>431720220808182109236225</v>
      </c>
      <c r="C586" s="5" t="s">
        <v>7</v>
      </c>
      <c r="D586" s="4" t="str">
        <f>"符燕"</f>
        <v>符燕</v>
      </c>
      <c r="E586" s="4" t="str">
        <f t="shared" si="46"/>
        <v>女</v>
      </c>
    </row>
    <row r="587" customHeight="1" spans="1:5">
      <c r="A587" s="4">
        <v>585</v>
      </c>
      <c r="B587" s="4" t="str">
        <f>"431720220808182831236244"</f>
        <v>431720220808182831236244</v>
      </c>
      <c r="C587" s="5" t="s">
        <v>7</v>
      </c>
      <c r="D587" s="4" t="str">
        <f>"周美奇"</f>
        <v>周美奇</v>
      </c>
      <c r="E587" s="4" t="str">
        <f t="shared" si="46"/>
        <v>女</v>
      </c>
    </row>
    <row r="588" customHeight="1" spans="1:5">
      <c r="A588" s="4">
        <v>586</v>
      </c>
      <c r="B588" s="4" t="str">
        <f>"431720220808184116236277"</f>
        <v>431720220808184116236277</v>
      </c>
      <c r="C588" s="5" t="s">
        <v>7</v>
      </c>
      <c r="D588" s="4" t="str">
        <f>"罗文晴"</f>
        <v>罗文晴</v>
      </c>
      <c r="E588" s="4" t="str">
        <f t="shared" si="46"/>
        <v>女</v>
      </c>
    </row>
    <row r="589" customHeight="1" spans="1:5">
      <c r="A589" s="4">
        <v>587</v>
      </c>
      <c r="B589" s="4" t="str">
        <f>"431720220808190418236342"</f>
        <v>431720220808190418236342</v>
      </c>
      <c r="C589" s="5" t="s">
        <v>7</v>
      </c>
      <c r="D589" s="4" t="str">
        <f>"徐秋花"</f>
        <v>徐秋花</v>
      </c>
      <c r="E589" s="4" t="str">
        <f t="shared" si="46"/>
        <v>女</v>
      </c>
    </row>
    <row r="590" customHeight="1" spans="1:5">
      <c r="A590" s="4">
        <v>588</v>
      </c>
      <c r="B590" s="4" t="str">
        <f>"431720220808192000236374"</f>
        <v>431720220808192000236374</v>
      </c>
      <c r="C590" s="5" t="s">
        <v>7</v>
      </c>
      <c r="D590" s="4" t="str">
        <f>"王美贤"</f>
        <v>王美贤</v>
      </c>
      <c r="E590" s="4" t="str">
        <f t="shared" si="46"/>
        <v>女</v>
      </c>
    </row>
    <row r="591" customHeight="1" spans="1:5">
      <c r="A591" s="4">
        <v>589</v>
      </c>
      <c r="B591" s="4" t="str">
        <f>"431720220808200616236478"</f>
        <v>431720220808200616236478</v>
      </c>
      <c r="C591" s="5" t="s">
        <v>7</v>
      </c>
      <c r="D591" s="4" t="str">
        <f>"余业红"</f>
        <v>余业红</v>
      </c>
      <c r="E591" s="4" t="str">
        <f t="shared" si="46"/>
        <v>女</v>
      </c>
    </row>
    <row r="592" customHeight="1" spans="1:5">
      <c r="A592" s="4">
        <v>590</v>
      </c>
      <c r="B592" s="4" t="str">
        <f>"431720220808200941236489"</f>
        <v>431720220808200941236489</v>
      </c>
      <c r="C592" s="5" t="s">
        <v>7</v>
      </c>
      <c r="D592" s="4" t="str">
        <f>"李少花"</f>
        <v>李少花</v>
      </c>
      <c r="E592" s="4" t="str">
        <f t="shared" si="46"/>
        <v>女</v>
      </c>
    </row>
    <row r="593" customHeight="1" spans="1:5">
      <c r="A593" s="4">
        <v>591</v>
      </c>
      <c r="B593" s="4" t="str">
        <f>"431720220808201134236496"</f>
        <v>431720220808201134236496</v>
      </c>
      <c r="C593" s="5" t="s">
        <v>7</v>
      </c>
      <c r="D593" s="4" t="str">
        <f>"王如花"</f>
        <v>王如花</v>
      </c>
      <c r="E593" s="4" t="str">
        <f t="shared" si="46"/>
        <v>女</v>
      </c>
    </row>
    <row r="594" customHeight="1" spans="1:5">
      <c r="A594" s="4">
        <v>592</v>
      </c>
      <c r="B594" s="4" t="str">
        <f>"431720220808204215236578"</f>
        <v>431720220808204215236578</v>
      </c>
      <c r="C594" s="5" t="s">
        <v>7</v>
      </c>
      <c r="D594" s="4" t="str">
        <f>"张颖"</f>
        <v>张颖</v>
      </c>
      <c r="E594" s="4" t="str">
        <f t="shared" si="46"/>
        <v>女</v>
      </c>
    </row>
    <row r="595" customHeight="1" spans="1:5">
      <c r="A595" s="4">
        <v>593</v>
      </c>
      <c r="B595" s="4" t="str">
        <f>"431720220808204301236581"</f>
        <v>431720220808204301236581</v>
      </c>
      <c r="C595" s="5" t="s">
        <v>7</v>
      </c>
      <c r="D595" s="4" t="str">
        <f>"林月妃"</f>
        <v>林月妃</v>
      </c>
      <c r="E595" s="4" t="str">
        <f t="shared" si="46"/>
        <v>女</v>
      </c>
    </row>
    <row r="596" customHeight="1" spans="1:5">
      <c r="A596" s="4">
        <v>594</v>
      </c>
      <c r="B596" s="4" t="str">
        <f>"431720220808210810236639"</f>
        <v>431720220808210810236639</v>
      </c>
      <c r="C596" s="5" t="s">
        <v>7</v>
      </c>
      <c r="D596" s="4" t="str">
        <f>"林海平"</f>
        <v>林海平</v>
      </c>
      <c r="E596" s="4" t="str">
        <f>"男"</f>
        <v>男</v>
      </c>
    </row>
    <row r="597" customHeight="1" spans="1:5">
      <c r="A597" s="4">
        <v>595</v>
      </c>
      <c r="B597" s="4" t="str">
        <f>"431720220808211038236644"</f>
        <v>431720220808211038236644</v>
      </c>
      <c r="C597" s="5" t="s">
        <v>7</v>
      </c>
      <c r="D597" s="4" t="str">
        <f>"吴福慧"</f>
        <v>吴福慧</v>
      </c>
      <c r="E597" s="4" t="str">
        <f t="shared" ref="E597:E624" si="47">"女"</f>
        <v>女</v>
      </c>
    </row>
    <row r="598" customHeight="1" spans="1:5">
      <c r="A598" s="4">
        <v>596</v>
      </c>
      <c r="B598" s="4" t="str">
        <f>"431720220808214410236736"</f>
        <v>431720220808214410236736</v>
      </c>
      <c r="C598" s="5" t="s">
        <v>7</v>
      </c>
      <c r="D598" s="4" t="str">
        <f>"王乙敏"</f>
        <v>王乙敏</v>
      </c>
      <c r="E598" s="4" t="str">
        <f t="shared" si="47"/>
        <v>女</v>
      </c>
    </row>
    <row r="599" customHeight="1" spans="1:5">
      <c r="A599" s="4">
        <v>597</v>
      </c>
      <c r="B599" s="4" t="str">
        <f>"431720220808214913236755"</f>
        <v>431720220808214913236755</v>
      </c>
      <c r="C599" s="5" t="s">
        <v>7</v>
      </c>
      <c r="D599" s="4" t="str">
        <f>"陈妹"</f>
        <v>陈妹</v>
      </c>
      <c r="E599" s="4" t="str">
        <f t="shared" si="47"/>
        <v>女</v>
      </c>
    </row>
    <row r="600" customHeight="1" spans="1:5">
      <c r="A600" s="4">
        <v>598</v>
      </c>
      <c r="B600" s="4" t="str">
        <f>"431720220808220434236790"</f>
        <v>431720220808220434236790</v>
      </c>
      <c r="C600" s="5" t="s">
        <v>7</v>
      </c>
      <c r="D600" s="4" t="str">
        <f>"郭坤女"</f>
        <v>郭坤女</v>
      </c>
      <c r="E600" s="4" t="str">
        <f t="shared" si="47"/>
        <v>女</v>
      </c>
    </row>
    <row r="601" customHeight="1" spans="1:5">
      <c r="A601" s="4">
        <v>599</v>
      </c>
      <c r="B601" s="4" t="str">
        <f>"431720220808232924236918"</f>
        <v>431720220808232924236918</v>
      </c>
      <c r="C601" s="5" t="s">
        <v>7</v>
      </c>
      <c r="D601" s="4" t="str">
        <f>"邓春竹"</f>
        <v>邓春竹</v>
      </c>
      <c r="E601" s="4" t="str">
        <f t="shared" si="47"/>
        <v>女</v>
      </c>
    </row>
    <row r="602" customHeight="1" spans="1:5">
      <c r="A602" s="4">
        <v>600</v>
      </c>
      <c r="B602" s="4" t="str">
        <f>"431720220808234014236924"</f>
        <v>431720220808234014236924</v>
      </c>
      <c r="C602" s="5" t="s">
        <v>7</v>
      </c>
      <c r="D602" s="4" t="str">
        <f>"林秋焕"</f>
        <v>林秋焕</v>
      </c>
      <c r="E602" s="4" t="str">
        <f t="shared" si="47"/>
        <v>女</v>
      </c>
    </row>
    <row r="603" customHeight="1" spans="1:5">
      <c r="A603" s="4">
        <v>601</v>
      </c>
      <c r="B603" s="4" t="str">
        <f>"431720220809081257237040"</f>
        <v>431720220809081257237040</v>
      </c>
      <c r="C603" s="5" t="s">
        <v>7</v>
      </c>
      <c r="D603" s="4" t="str">
        <f>"李月冠"</f>
        <v>李月冠</v>
      </c>
      <c r="E603" s="4" t="str">
        <f t="shared" si="47"/>
        <v>女</v>
      </c>
    </row>
    <row r="604" customHeight="1" spans="1:5">
      <c r="A604" s="4">
        <v>602</v>
      </c>
      <c r="B604" s="4" t="str">
        <f>"431720220809090421237179"</f>
        <v>431720220809090421237179</v>
      </c>
      <c r="C604" s="5" t="s">
        <v>7</v>
      </c>
      <c r="D604" s="4" t="str">
        <f>"王转"</f>
        <v>王转</v>
      </c>
      <c r="E604" s="4" t="str">
        <f t="shared" si="47"/>
        <v>女</v>
      </c>
    </row>
    <row r="605" customHeight="1" spans="1:5">
      <c r="A605" s="4">
        <v>603</v>
      </c>
      <c r="B605" s="4" t="str">
        <f>"431720220809092439237250"</f>
        <v>431720220809092439237250</v>
      </c>
      <c r="C605" s="5" t="s">
        <v>7</v>
      </c>
      <c r="D605" s="4" t="str">
        <f>"叶秋雅"</f>
        <v>叶秋雅</v>
      </c>
      <c r="E605" s="4" t="str">
        <f t="shared" si="47"/>
        <v>女</v>
      </c>
    </row>
    <row r="606" customHeight="1" spans="1:5">
      <c r="A606" s="4">
        <v>604</v>
      </c>
      <c r="B606" s="4" t="str">
        <f>"431720220809100228237369"</f>
        <v>431720220809100228237369</v>
      </c>
      <c r="C606" s="5" t="s">
        <v>7</v>
      </c>
      <c r="D606" s="4" t="str">
        <f>"邹怡"</f>
        <v>邹怡</v>
      </c>
      <c r="E606" s="4" t="str">
        <f t="shared" si="47"/>
        <v>女</v>
      </c>
    </row>
    <row r="607" customHeight="1" spans="1:5">
      <c r="A607" s="4">
        <v>605</v>
      </c>
      <c r="B607" s="4" t="str">
        <f>"431720220809102050237431"</f>
        <v>431720220809102050237431</v>
      </c>
      <c r="C607" s="5" t="s">
        <v>7</v>
      </c>
      <c r="D607" s="4" t="str">
        <f>"陈秋颖"</f>
        <v>陈秋颖</v>
      </c>
      <c r="E607" s="4" t="str">
        <f t="shared" si="47"/>
        <v>女</v>
      </c>
    </row>
    <row r="608" customHeight="1" spans="1:5">
      <c r="A608" s="4">
        <v>606</v>
      </c>
      <c r="B608" s="4" t="str">
        <f>"431720220809102534237452"</f>
        <v>431720220809102534237452</v>
      </c>
      <c r="C608" s="5" t="s">
        <v>7</v>
      </c>
      <c r="D608" s="4" t="str">
        <f>"桂小送"</f>
        <v>桂小送</v>
      </c>
      <c r="E608" s="4" t="str">
        <f t="shared" si="47"/>
        <v>女</v>
      </c>
    </row>
    <row r="609" customHeight="1" spans="1:5">
      <c r="A609" s="4">
        <v>607</v>
      </c>
      <c r="B609" s="4" t="str">
        <f>"431720220809104553237516"</f>
        <v>431720220809104553237516</v>
      </c>
      <c r="C609" s="5" t="s">
        <v>7</v>
      </c>
      <c r="D609" s="4" t="str">
        <f>"王丽婷"</f>
        <v>王丽婷</v>
      </c>
      <c r="E609" s="4" t="str">
        <f t="shared" si="47"/>
        <v>女</v>
      </c>
    </row>
    <row r="610" customHeight="1" spans="1:5">
      <c r="A610" s="4">
        <v>608</v>
      </c>
      <c r="B610" s="4" t="str">
        <f>"431720220809105950237566"</f>
        <v>431720220809105950237566</v>
      </c>
      <c r="C610" s="5" t="s">
        <v>7</v>
      </c>
      <c r="D610" s="4" t="str">
        <f>"符岐花"</f>
        <v>符岐花</v>
      </c>
      <c r="E610" s="4" t="str">
        <f t="shared" si="47"/>
        <v>女</v>
      </c>
    </row>
    <row r="611" customHeight="1" spans="1:5">
      <c r="A611" s="4">
        <v>609</v>
      </c>
      <c r="B611" s="4" t="str">
        <f>"431720220809110729237592"</f>
        <v>431720220809110729237592</v>
      </c>
      <c r="C611" s="5" t="s">
        <v>7</v>
      </c>
      <c r="D611" s="4" t="str">
        <f>"郑霞霞"</f>
        <v>郑霞霞</v>
      </c>
      <c r="E611" s="4" t="str">
        <f t="shared" si="47"/>
        <v>女</v>
      </c>
    </row>
    <row r="612" customHeight="1" spans="1:5">
      <c r="A612" s="4">
        <v>610</v>
      </c>
      <c r="B612" s="4" t="str">
        <f>"431720220809114006237672"</f>
        <v>431720220809114006237672</v>
      </c>
      <c r="C612" s="5" t="s">
        <v>7</v>
      </c>
      <c r="D612" s="4" t="str">
        <f>"何梅霞"</f>
        <v>何梅霞</v>
      </c>
      <c r="E612" s="4" t="str">
        <f t="shared" si="47"/>
        <v>女</v>
      </c>
    </row>
    <row r="613" customHeight="1" spans="1:5">
      <c r="A613" s="4">
        <v>611</v>
      </c>
      <c r="B613" s="4" t="str">
        <f>"431720220809114554237682"</f>
        <v>431720220809114554237682</v>
      </c>
      <c r="C613" s="5" t="s">
        <v>7</v>
      </c>
      <c r="D613" s="4" t="str">
        <f>"王林婷"</f>
        <v>王林婷</v>
      </c>
      <c r="E613" s="4" t="str">
        <f t="shared" si="47"/>
        <v>女</v>
      </c>
    </row>
    <row r="614" customHeight="1" spans="1:5">
      <c r="A614" s="4">
        <v>612</v>
      </c>
      <c r="B614" s="4" t="str">
        <f>"431720220809121048237740"</f>
        <v>431720220809121048237740</v>
      </c>
      <c r="C614" s="5" t="s">
        <v>7</v>
      </c>
      <c r="D614" s="4" t="str">
        <f>"陈红敏"</f>
        <v>陈红敏</v>
      </c>
      <c r="E614" s="4" t="str">
        <f t="shared" si="47"/>
        <v>女</v>
      </c>
    </row>
    <row r="615" customHeight="1" spans="1:5">
      <c r="A615" s="4">
        <v>613</v>
      </c>
      <c r="B615" s="4" t="str">
        <f>"431720220809131507237916"</f>
        <v>431720220809131507237916</v>
      </c>
      <c r="C615" s="5" t="s">
        <v>7</v>
      </c>
      <c r="D615" s="4" t="str">
        <f>"邱发莹"</f>
        <v>邱发莹</v>
      </c>
      <c r="E615" s="4" t="str">
        <f t="shared" si="47"/>
        <v>女</v>
      </c>
    </row>
    <row r="616" customHeight="1" spans="1:5">
      <c r="A616" s="4">
        <v>614</v>
      </c>
      <c r="B616" s="4" t="str">
        <f>"431720220809135904237987"</f>
        <v>431720220809135904237987</v>
      </c>
      <c r="C616" s="5" t="s">
        <v>7</v>
      </c>
      <c r="D616" s="4" t="str">
        <f>"谭锐"</f>
        <v>谭锐</v>
      </c>
      <c r="E616" s="4" t="str">
        <f t="shared" si="47"/>
        <v>女</v>
      </c>
    </row>
    <row r="617" customHeight="1" spans="1:5">
      <c r="A617" s="4">
        <v>615</v>
      </c>
      <c r="B617" s="4" t="str">
        <f>"431720220809141028237998"</f>
        <v>431720220809141028237998</v>
      </c>
      <c r="C617" s="5" t="s">
        <v>7</v>
      </c>
      <c r="D617" s="4" t="str">
        <f>"王少玮"</f>
        <v>王少玮</v>
      </c>
      <c r="E617" s="4" t="str">
        <f t="shared" si="47"/>
        <v>女</v>
      </c>
    </row>
    <row r="618" customHeight="1" spans="1:5">
      <c r="A618" s="4">
        <v>616</v>
      </c>
      <c r="B618" s="4" t="str">
        <f>"431720220809151458238144"</f>
        <v>431720220809151458238144</v>
      </c>
      <c r="C618" s="5" t="s">
        <v>7</v>
      </c>
      <c r="D618" s="4" t="str">
        <f>"陈朝秀"</f>
        <v>陈朝秀</v>
      </c>
      <c r="E618" s="4" t="str">
        <f t="shared" si="47"/>
        <v>女</v>
      </c>
    </row>
    <row r="619" customHeight="1" spans="1:5">
      <c r="A619" s="4">
        <v>617</v>
      </c>
      <c r="B619" s="4" t="str">
        <f>"431720220809151646238149"</f>
        <v>431720220809151646238149</v>
      </c>
      <c r="C619" s="5" t="s">
        <v>7</v>
      </c>
      <c r="D619" s="4" t="str">
        <f>"吴国晨"</f>
        <v>吴国晨</v>
      </c>
      <c r="E619" s="4" t="str">
        <f t="shared" si="47"/>
        <v>女</v>
      </c>
    </row>
    <row r="620" customHeight="1" spans="1:5">
      <c r="A620" s="4">
        <v>618</v>
      </c>
      <c r="B620" s="4" t="str">
        <f>"431720220809160355238270"</f>
        <v>431720220809160355238270</v>
      </c>
      <c r="C620" s="5" t="s">
        <v>7</v>
      </c>
      <c r="D620" s="4" t="str">
        <f>"陈应美"</f>
        <v>陈应美</v>
      </c>
      <c r="E620" s="4" t="str">
        <f t="shared" si="47"/>
        <v>女</v>
      </c>
    </row>
    <row r="621" customHeight="1" spans="1:5">
      <c r="A621" s="4">
        <v>619</v>
      </c>
      <c r="B621" s="4" t="str">
        <f>"431720220809163247238358"</f>
        <v>431720220809163247238358</v>
      </c>
      <c r="C621" s="5" t="s">
        <v>7</v>
      </c>
      <c r="D621" s="4" t="str">
        <f>"钟秋月"</f>
        <v>钟秋月</v>
      </c>
      <c r="E621" s="4" t="str">
        <f t="shared" si="47"/>
        <v>女</v>
      </c>
    </row>
    <row r="622" customHeight="1" spans="1:5">
      <c r="A622" s="4">
        <v>620</v>
      </c>
      <c r="B622" s="4" t="str">
        <f>"431720220809170325238429"</f>
        <v>431720220809170325238429</v>
      </c>
      <c r="C622" s="5" t="s">
        <v>7</v>
      </c>
      <c r="D622" s="4" t="str">
        <f>"曾秀燕"</f>
        <v>曾秀燕</v>
      </c>
      <c r="E622" s="4" t="str">
        <f t="shared" si="47"/>
        <v>女</v>
      </c>
    </row>
    <row r="623" customHeight="1" spans="1:5">
      <c r="A623" s="4">
        <v>621</v>
      </c>
      <c r="B623" s="4" t="str">
        <f>"431720220809174614238496"</f>
        <v>431720220809174614238496</v>
      </c>
      <c r="C623" s="5" t="s">
        <v>7</v>
      </c>
      <c r="D623" s="4" t="str">
        <f>"林小琴"</f>
        <v>林小琴</v>
      </c>
      <c r="E623" s="4" t="str">
        <f t="shared" si="47"/>
        <v>女</v>
      </c>
    </row>
    <row r="624" customHeight="1" spans="1:5">
      <c r="A624" s="4">
        <v>622</v>
      </c>
      <c r="B624" s="4" t="str">
        <f>"431720220809174858238500"</f>
        <v>431720220809174858238500</v>
      </c>
      <c r="C624" s="5" t="s">
        <v>7</v>
      </c>
      <c r="D624" s="4" t="str">
        <f>"陈玉妹"</f>
        <v>陈玉妹</v>
      </c>
      <c r="E624" s="4" t="str">
        <f t="shared" si="47"/>
        <v>女</v>
      </c>
    </row>
    <row r="625" customHeight="1" spans="1:5">
      <c r="A625" s="4">
        <v>623</v>
      </c>
      <c r="B625" s="4" t="str">
        <f>"431720220809180052238522"</f>
        <v>431720220809180052238522</v>
      </c>
      <c r="C625" s="5" t="s">
        <v>7</v>
      </c>
      <c r="D625" s="4" t="str">
        <f>"谢欢"</f>
        <v>谢欢</v>
      </c>
      <c r="E625" s="4" t="str">
        <f>"男"</f>
        <v>男</v>
      </c>
    </row>
    <row r="626" customHeight="1" spans="1:5">
      <c r="A626" s="4">
        <v>624</v>
      </c>
      <c r="B626" s="4" t="str">
        <f>"431720220809200847238732"</f>
        <v>431720220809200847238732</v>
      </c>
      <c r="C626" s="5" t="s">
        <v>7</v>
      </c>
      <c r="D626" s="4" t="str">
        <f>"刘佳媛"</f>
        <v>刘佳媛</v>
      </c>
      <c r="E626" s="4" t="str">
        <f t="shared" ref="E626:E635" si="48">"女"</f>
        <v>女</v>
      </c>
    </row>
    <row r="627" customHeight="1" spans="1:5">
      <c r="A627" s="4">
        <v>625</v>
      </c>
      <c r="B627" s="4" t="str">
        <f>"431720220809205451238841"</f>
        <v>431720220809205451238841</v>
      </c>
      <c r="C627" s="5" t="s">
        <v>7</v>
      </c>
      <c r="D627" s="4" t="str">
        <f>"邓道雄"</f>
        <v>邓道雄</v>
      </c>
      <c r="E627" s="4" t="str">
        <f>"男"</f>
        <v>男</v>
      </c>
    </row>
    <row r="628" customHeight="1" spans="1:5">
      <c r="A628" s="4">
        <v>626</v>
      </c>
      <c r="B628" s="4" t="str">
        <f>"431720220809205844238848"</f>
        <v>431720220809205844238848</v>
      </c>
      <c r="C628" s="5" t="s">
        <v>7</v>
      </c>
      <c r="D628" s="4" t="str">
        <f>"许佩汝"</f>
        <v>许佩汝</v>
      </c>
      <c r="E628" s="4" t="str">
        <f t="shared" si="48"/>
        <v>女</v>
      </c>
    </row>
    <row r="629" customHeight="1" spans="1:5">
      <c r="A629" s="4">
        <v>627</v>
      </c>
      <c r="B629" s="4" t="str">
        <f>"431720220809212817238907"</f>
        <v>431720220809212817238907</v>
      </c>
      <c r="C629" s="5" t="s">
        <v>7</v>
      </c>
      <c r="D629" s="4" t="str">
        <f>"符子娟"</f>
        <v>符子娟</v>
      </c>
      <c r="E629" s="4" t="str">
        <f t="shared" si="48"/>
        <v>女</v>
      </c>
    </row>
    <row r="630" customHeight="1" spans="1:5">
      <c r="A630" s="4">
        <v>628</v>
      </c>
      <c r="B630" s="4" t="str">
        <f>"431720220809212913238910"</f>
        <v>431720220809212913238910</v>
      </c>
      <c r="C630" s="5" t="s">
        <v>7</v>
      </c>
      <c r="D630" s="4" t="str">
        <f>"苏月美"</f>
        <v>苏月美</v>
      </c>
      <c r="E630" s="4" t="str">
        <f t="shared" si="48"/>
        <v>女</v>
      </c>
    </row>
    <row r="631" customHeight="1" spans="1:5">
      <c r="A631" s="4">
        <v>629</v>
      </c>
      <c r="B631" s="4" t="str">
        <f>"431720220809213208238920"</f>
        <v>431720220809213208238920</v>
      </c>
      <c r="C631" s="5" t="s">
        <v>7</v>
      </c>
      <c r="D631" s="4" t="str">
        <f>"李妍"</f>
        <v>李妍</v>
      </c>
      <c r="E631" s="4" t="str">
        <f t="shared" si="48"/>
        <v>女</v>
      </c>
    </row>
    <row r="632" customHeight="1" spans="1:5">
      <c r="A632" s="4">
        <v>630</v>
      </c>
      <c r="B632" s="4" t="str">
        <f>"431720220809215015238956"</f>
        <v>431720220809215015238956</v>
      </c>
      <c r="C632" s="5" t="s">
        <v>7</v>
      </c>
      <c r="D632" s="4" t="str">
        <f>"黄美柳"</f>
        <v>黄美柳</v>
      </c>
      <c r="E632" s="4" t="str">
        <f t="shared" si="48"/>
        <v>女</v>
      </c>
    </row>
    <row r="633" customHeight="1" spans="1:5">
      <c r="A633" s="4">
        <v>631</v>
      </c>
      <c r="B633" s="4" t="str">
        <f>"431720220809220857239007"</f>
        <v>431720220809220857239007</v>
      </c>
      <c r="C633" s="5" t="s">
        <v>7</v>
      </c>
      <c r="D633" s="4" t="str">
        <f>"谢珊瑚"</f>
        <v>谢珊瑚</v>
      </c>
      <c r="E633" s="4" t="str">
        <f t="shared" si="48"/>
        <v>女</v>
      </c>
    </row>
    <row r="634" customHeight="1" spans="1:5">
      <c r="A634" s="4">
        <v>632</v>
      </c>
      <c r="B634" s="4" t="str">
        <f>"431720220809221523239021"</f>
        <v>431720220809221523239021</v>
      </c>
      <c r="C634" s="5" t="s">
        <v>7</v>
      </c>
      <c r="D634" s="4" t="str">
        <f>"王晓娜"</f>
        <v>王晓娜</v>
      </c>
      <c r="E634" s="4" t="str">
        <f t="shared" si="48"/>
        <v>女</v>
      </c>
    </row>
    <row r="635" customHeight="1" spans="1:5">
      <c r="A635" s="4">
        <v>633</v>
      </c>
      <c r="B635" s="4" t="str">
        <f>"431720220809223229239058"</f>
        <v>431720220809223229239058</v>
      </c>
      <c r="C635" s="5" t="s">
        <v>7</v>
      </c>
      <c r="D635" s="4" t="str">
        <f>"卢志欢"</f>
        <v>卢志欢</v>
      </c>
      <c r="E635" s="4" t="str">
        <f t="shared" si="48"/>
        <v>女</v>
      </c>
    </row>
    <row r="636" customHeight="1" spans="1:5">
      <c r="A636" s="4">
        <v>634</v>
      </c>
      <c r="B636" s="4" t="str">
        <f>"431720220809230518239109"</f>
        <v>431720220809230518239109</v>
      </c>
      <c r="C636" s="5" t="s">
        <v>7</v>
      </c>
      <c r="D636" s="4" t="str">
        <f>"宋宏阳"</f>
        <v>宋宏阳</v>
      </c>
      <c r="E636" s="4" t="str">
        <f>"男"</f>
        <v>男</v>
      </c>
    </row>
    <row r="637" customHeight="1" spans="1:5">
      <c r="A637" s="4">
        <v>635</v>
      </c>
      <c r="B637" s="4" t="str">
        <f>"431720220809231557239128"</f>
        <v>431720220809231557239128</v>
      </c>
      <c r="C637" s="5" t="s">
        <v>7</v>
      </c>
      <c r="D637" s="4" t="str">
        <f>"卢小月"</f>
        <v>卢小月</v>
      </c>
      <c r="E637" s="4" t="str">
        <f t="shared" ref="E637:E696" si="49">"女"</f>
        <v>女</v>
      </c>
    </row>
    <row r="638" customHeight="1" spans="1:5">
      <c r="A638" s="4">
        <v>636</v>
      </c>
      <c r="B638" s="4" t="str">
        <f>"431720220809232533239134"</f>
        <v>431720220809232533239134</v>
      </c>
      <c r="C638" s="5" t="s">
        <v>7</v>
      </c>
      <c r="D638" s="4" t="str">
        <f>"刘莹"</f>
        <v>刘莹</v>
      </c>
      <c r="E638" s="4" t="str">
        <f t="shared" si="49"/>
        <v>女</v>
      </c>
    </row>
    <row r="639" customHeight="1" spans="1:5">
      <c r="A639" s="4">
        <v>637</v>
      </c>
      <c r="B639" s="4" t="str">
        <f>"431720220810001549239174"</f>
        <v>431720220810001549239174</v>
      </c>
      <c r="C639" s="5" t="s">
        <v>7</v>
      </c>
      <c r="D639" s="4" t="str">
        <f>"洪秀美"</f>
        <v>洪秀美</v>
      </c>
      <c r="E639" s="4" t="str">
        <f t="shared" si="49"/>
        <v>女</v>
      </c>
    </row>
    <row r="640" customHeight="1" spans="1:5">
      <c r="A640" s="4">
        <v>638</v>
      </c>
      <c r="B640" s="4" t="str">
        <f>"431720220810005316239191"</f>
        <v>431720220810005316239191</v>
      </c>
      <c r="C640" s="5" t="s">
        <v>7</v>
      </c>
      <c r="D640" s="4" t="str">
        <f>"王佳佳"</f>
        <v>王佳佳</v>
      </c>
      <c r="E640" s="4" t="str">
        <f t="shared" si="49"/>
        <v>女</v>
      </c>
    </row>
    <row r="641" customHeight="1" spans="1:5">
      <c r="A641" s="4">
        <v>639</v>
      </c>
      <c r="B641" s="4" t="str">
        <f>"431720220810014624239201"</f>
        <v>431720220810014624239201</v>
      </c>
      <c r="C641" s="5" t="s">
        <v>7</v>
      </c>
      <c r="D641" s="4" t="str">
        <f>"吴彩兰"</f>
        <v>吴彩兰</v>
      </c>
      <c r="E641" s="4" t="str">
        <f t="shared" si="49"/>
        <v>女</v>
      </c>
    </row>
    <row r="642" customHeight="1" spans="1:5">
      <c r="A642" s="4">
        <v>640</v>
      </c>
      <c r="B642" s="4" t="str">
        <f>"431720220810091448239435"</f>
        <v>431720220810091448239435</v>
      </c>
      <c r="C642" s="5" t="s">
        <v>7</v>
      </c>
      <c r="D642" s="4" t="str">
        <f>"蔡怡欣"</f>
        <v>蔡怡欣</v>
      </c>
      <c r="E642" s="4" t="str">
        <f t="shared" si="49"/>
        <v>女</v>
      </c>
    </row>
    <row r="643" customHeight="1" spans="1:5">
      <c r="A643" s="4">
        <v>641</v>
      </c>
      <c r="B643" s="4" t="str">
        <f>"431720220810100114239633"</f>
        <v>431720220810100114239633</v>
      </c>
      <c r="C643" s="5" t="s">
        <v>7</v>
      </c>
      <c r="D643" s="4" t="str">
        <f>"蔡慧"</f>
        <v>蔡慧</v>
      </c>
      <c r="E643" s="4" t="str">
        <f t="shared" si="49"/>
        <v>女</v>
      </c>
    </row>
    <row r="644" customHeight="1" spans="1:5">
      <c r="A644" s="4">
        <v>642</v>
      </c>
      <c r="B644" s="4" t="str">
        <f>"431720220810112311239923"</f>
        <v>431720220810112311239923</v>
      </c>
      <c r="C644" s="5" t="s">
        <v>7</v>
      </c>
      <c r="D644" s="4" t="str">
        <f>"陈庆丽"</f>
        <v>陈庆丽</v>
      </c>
      <c r="E644" s="4" t="str">
        <f t="shared" si="49"/>
        <v>女</v>
      </c>
    </row>
    <row r="645" customHeight="1" spans="1:5">
      <c r="A645" s="4">
        <v>643</v>
      </c>
      <c r="B645" s="4" t="str">
        <f>"431720220810115656240005"</f>
        <v>431720220810115656240005</v>
      </c>
      <c r="C645" s="5" t="s">
        <v>7</v>
      </c>
      <c r="D645" s="4" t="str">
        <f>"林明桂"</f>
        <v>林明桂</v>
      </c>
      <c r="E645" s="4" t="str">
        <f t="shared" si="49"/>
        <v>女</v>
      </c>
    </row>
    <row r="646" customHeight="1" spans="1:5">
      <c r="A646" s="4">
        <v>644</v>
      </c>
      <c r="B646" s="4" t="str">
        <f>"431720220810145915240452"</f>
        <v>431720220810145915240452</v>
      </c>
      <c r="C646" s="5" t="s">
        <v>7</v>
      </c>
      <c r="D646" s="4" t="str">
        <f>"张晓静"</f>
        <v>张晓静</v>
      </c>
      <c r="E646" s="4" t="str">
        <f t="shared" si="49"/>
        <v>女</v>
      </c>
    </row>
    <row r="647" customHeight="1" spans="1:5">
      <c r="A647" s="4">
        <v>645</v>
      </c>
      <c r="B647" s="4" t="str">
        <f>"431720220810151224240495"</f>
        <v>431720220810151224240495</v>
      </c>
      <c r="C647" s="5" t="s">
        <v>7</v>
      </c>
      <c r="D647" s="4" t="str">
        <f>"郑苏丽"</f>
        <v>郑苏丽</v>
      </c>
      <c r="E647" s="4" t="str">
        <f t="shared" si="49"/>
        <v>女</v>
      </c>
    </row>
    <row r="648" customHeight="1" spans="1:5">
      <c r="A648" s="4">
        <v>646</v>
      </c>
      <c r="B648" s="4" t="str">
        <f>"431720220810152653240541"</f>
        <v>431720220810152653240541</v>
      </c>
      <c r="C648" s="5" t="s">
        <v>7</v>
      </c>
      <c r="D648" s="4" t="str">
        <f>"李江艳"</f>
        <v>李江艳</v>
      </c>
      <c r="E648" s="4" t="str">
        <f t="shared" si="49"/>
        <v>女</v>
      </c>
    </row>
    <row r="649" customHeight="1" spans="1:5">
      <c r="A649" s="4">
        <v>647</v>
      </c>
      <c r="B649" s="4" t="str">
        <f>"431720220810153534240568"</f>
        <v>431720220810153534240568</v>
      </c>
      <c r="C649" s="5" t="s">
        <v>7</v>
      </c>
      <c r="D649" s="4" t="str">
        <f>"李文茹"</f>
        <v>李文茹</v>
      </c>
      <c r="E649" s="4" t="str">
        <f t="shared" si="49"/>
        <v>女</v>
      </c>
    </row>
    <row r="650" customHeight="1" spans="1:5">
      <c r="A650" s="4">
        <v>648</v>
      </c>
      <c r="B650" s="4" t="str">
        <f>"431720220810160447240684"</f>
        <v>431720220810160447240684</v>
      </c>
      <c r="C650" s="5" t="s">
        <v>7</v>
      </c>
      <c r="D650" s="4" t="str">
        <f>"苏阳"</f>
        <v>苏阳</v>
      </c>
      <c r="E650" s="4" t="str">
        <f t="shared" si="49"/>
        <v>女</v>
      </c>
    </row>
    <row r="651" customHeight="1" spans="1:5">
      <c r="A651" s="4">
        <v>649</v>
      </c>
      <c r="B651" s="4" t="str">
        <f>"431720220810165418240848"</f>
        <v>431720220810165418240848</v>
      </c>
      <c r="C651" s="5" t="s">
        <v>7</v>
      </c>
      <c r="D651" s="4" t="str">
        <f>"陈璐"</f>
        <v>陈璐</v>
      </c>
      <c r="E651" s="4" t="str">
        <f t="shared" si="49"/>
        <v>女</v>
      </c>
    </row>
    <row r="652" customHeight="1" spans="1:5">
      <c r="A652" s="4">
        <v>650</v>
      </c>
      <c r="B652" s="4" t="str">
        <f>"431720220810170736240884"</f>
        <v>431720220810170736240884</v>
      </c>
      <c r="C652" s="5" t="s">
        <v>7</v>
      </c>
      <c r="D652" s="4" t="str">
        <f>"林海玉"</f>
        <v>林海玉</v>
      </c>
      <c r="E652" s="4" t="str">
        <f t="shared" si="49"/>
        <v>女</v>
      </c>
    </row>
    <row r="653" customHeight="1" spans="1:5">
      <c r="A653" s="4">
        <v>651</v>
      </c>
      <c r="B653" s="4" t="str">
        <f>"431720220810172957240930"</f>
        <v>431720220810172957240930</v>
      </c>
      <c r="C653" s="5" t="s">
        <v>7</v>
      </c>
      <c r="D653" s="4" t="str">
        <f>"黄火娜"</f>
        <v>黄火娜</v>
      </c>
      <c r="E653" s="4" t="str">
        <f t="shared" si="49"/>
        <v>女</v>
      </c>
    </row>
    <row r="654" customHeight="1" spans="1:5">
      <c r="A654" s="4">
        <v>652</v>
      </c>
      <c r="B654" s="4" t="str">
        <f>"431720220810174020240955"</f>
        <v>431720220810174020240955</v>
      </c>
      <c r="C654" s="5" t="s">
        <v>7</v>
      </c>
      <c r="D654" s="4" t="str">
        <f>"王燕妹"</f>
        <v>王燕妹</v>
      </c>
      <c r="E654" s="4" t="str">
        <f t="shared" si="49"/>
        <v>女</v>
      </c>
    </row>
    <row r="655" customHeight="1" spans="1:5">
      <c r="A655" s="4">
        <v>653</v>
      </c>
      <c r="B655" s="4" t="str">
        <f>"431720220810175226240979"</f>
        <v>431720220810175226240979</v>
      </c>
      <c r="C655" s="5" t="s">
        <v>7</v>
      </c>
      <c r="D655" s="4" t="str">
        <f>"陈芳玉"</f>
        <v>陈芳玉</v>
      </c>
      <c r="E655" s="4" t="str">
        <f t="shared" si="49"/>
        <v>女</v>
      </c>
    </row>
    <row r="656" customHeight="1" spans="1:5">
      <c r="A656" s="4">
        <v>654</v>
      </c>
      <c r="B656" s="4" t="str">
        <f>"431720220810180926241020"</f>
        <v>431720220810180926241020</v>
      </c>
      <c r="C656" s="5" t="s">
        <v>7</v>
      </c>
      <c r="D656" s="4" t="str">
        <f>"董敏玲"</f>
        <v>董敏玲</v>
      </c>
      <c r="E656" s="4" t="str">
        <f t="shared" si="49"/>
        <v>女</v>
      </c>
    </row>
    <row r="657" customHeight="1" spans="1:5">
      <c r="A657" s="4">
        <v>655</v>
      </c>
      <c r="B657" s="4" t="str">
        <f>"431720220810190328241136"</f>
        <v>431720220810190328241136</v>
      </c>
      <c r="C657" s="5" t="s">
        <v>7</v>
      </c>
      <c r="D657" s="4" t="str">
        <f>"谢焮焮"</f>
        <v>谢焮焮</v>
      </c>
      <c r="E657" s="4" t="str">
        <f t="shared" si="49"/>
        <v>女</v>
      </c>
    </row>
    <row r="658" customHeight="1" spans="1:5">
      <c r="A658" s="4">
        <v>656</v>
      </c>
      <c r="B658" s="4" t="str">
        <f>"431720220810190807241143"</f>
        <v>431720220810190807241143</v>
      </c>
      <c r="C658" s="5" t="s">
        <v>7</v>
      </c>
      <c r="D658" s="4" t="str">
        <f>"符光怀"</f>
        <v>符光怀</v>
      </c>
      <c r="E658" s="4" t="str">
        <f t="shared" si="49"/>
        <v>女</v>
      </c>
    </row>
    <row r="659" customHeight="1" spans="1:5">
      <c r="A659" s="4">
        <v>657</v>
      </c>
      <c r="B659" s="4" t="str">
        <f>"431720220810193144241200"</f>
        <v>431720220810193144241200</v>
      </c>
      <c r="C659" s="5" t="s">
        <v>7</v>
      </c>
      <c r="D659" s="4" t="str">
        <f>"王梦"</f>
        <v>王梦</v>
      </c>
      <c r="E659" s="4" t="str">
        <f t="shared" si="49"/>
        <v>女</v>
      </c>
    </row>
    <row r="660" customHeight="1" spans="1:5">
      <c r="A660" s="4">
        <v>658</v>
      </c>
      <c r="B660" s="4" t="str">
        <f>"431720220810194947241230"</f>
        <v>431720220810194947241230</v>
      </c>
      <c r="C660" s="5" t="s">
        <v>7</v>
      </c>
      <c r="D660" s="4" t="str">
        <f>"高令泓"</f>
        <v>高令泓</v>
      </c>
      <c r="E660" s="4" t="str">
        <f t="shared" si="49"/>
        <v>女</v>
      </c>
    </row>
    <row r="661" customHeight="1" spans="1:5">
      <c r="A661" s="4">
        <v>659</v>
      </c>
      <c r="B661" s="4" t="str">
        <f>"431720220810202436241315"</f>
        <v>431720220810202436241315</v>
      </c>
      <c r="C661" s="5" t="s">
        <v>7</v>
      </c>
      <c r="D661" s="4" t="str">
        <f>"王晓颖"</f>
        <v>王晓颖</v>
      </c>
      <c r="E661" s="4" t="str">
        <f t="shared" si="49"/>
        <v>女</v>
      </c>
    </row>
    <row r="662" customHeight="1" spans="1:5">
      <c r="A662" s="4">
        <v>660</v>
      </c>
      <c r="B662" s="4" t="str">
        <f>"431720220810205202241384"</f>
        <v>431720220810205202241384</v>
      </c>
      <c r="C662" s="5" t="s">
        <v>7</v>
      </c>
      <c r="D662" s="4" t="str">
        <f>"钟海莉"</f>
        <v>钟海莉</v>
      </c>
      <c r="E662" s="4" t="str">
        <f t="shared" si="49"/>
        <v>女</v>
      </c>
    </row>
    <row r="663" customHeight="1" spans="1:5">
      <c r="A663" s="4">
        <v>661</v>
      </c>
      <c r="B663" s="4" t="str">
        <f>"431720220810205220241386"</f>
        <v>431720220810205220241386</v>
      </c>
      <c r="C663" s="5" t="s">
        <v>7</v>
      </c>
      <c r="D663" s="4" t="str">
        <f>"唐海玲"</f>
        <v>唐海玲</v>
      </c>
      <c r="E663" s="4" t="str">
        <f t="shared" si="49"/>
        <v>女</v>
      </c>
    </row>
    <row r="664" customHeight="1" spans="1:5">
      <c r="A664" s="4">
        <v>662</v>
      </c>
      <c r="B664" s="4" t="str">
        <f>"431720220810205535241392"</f>
        <v>431720220810205535241392</v>
      </c>
      <c r="C664" s="5" t="s">
        <v>7</v>
      </c>
      <c r="D664" s="4" t="str">
        <f>"郭珍"</f>
        <v>郭珍</v>
      </c>
      <c r="E664" s="4" t="str">
        <f t="shared" si="49"/>
        <v>女</v>
      </c>
    </row>
    <row r="665" customHeight="1" spans="1:5">
      <c r="A665" s="4">
        <v>663</v>
      </c>
      <c r="B665" s="4" t="str">
        <f>"431720220810213751241503"</f>
        <v>431720220810213751241503</v>
      </c>
      <c r="C665" s="5" t="s">
        <v>7</v>
      </c>
      <c r="D665" s="4" t="str">
        <f>"王巧"</f>
        <v>王巧</v>
      </c>
      <c r="E665" s="4" t="str">
        <f t="shared" si="49"/>
        <v>女</v>
      </c>
    </row>
    <row r="666" customHeight="1" spans="1:5">
      <c r="A666" s="4">
        <v>664</v>
      </c>
      <c r="B666" s="4" t="str">
        <f>"431720220810224448241659"</f>
        <v>431720220810224448241659</v>
      </c>
      <c r="C666" s="5" t="s">
        <v>7</v>
      </c>
      <c r="D666" s="4" t="str">
        <f>"周小妹"</f>
        <v>周小妹</v>
      </c>
      <c r="E666" s="4" t="str">
        <f t="shared" si="49"/>
        <v>女</v>
      </c>
    </row>
    <row r="667" customHeight="1" spans="1:5">
      <c r="A667" s="4">
        <v>665</v>
      </c>
      <c r="B667" s="4" t="str">
        <f>"431720220811091627242041"</f>
        <v>431720220811091627242041</v>
      </c>
      <c r="C667" s="5" t="s">
        <v>7</v>
      </c>
      <c r="D667" s="4" t="str">
        <f>"黄小妹"</f>
        <v>黄小妹</v>
      </c>
      <c r="E667" s="4" t="str">
        <f t="shared" si="49"/>
        <v>女</v>
      </c>
    </row>
    <row r="668" customHeight="1" spans="1:5">
      <c r="A668" s="4">
        <v>666</v>
      </c>
      <c r="B668" s="4" t="str">
        <f>"431720220811093543242116"</f>
        <v>431720220811093543242116</v>
      </c>
      <c r="C668" s="5" t="s">
        <v>7</v>
      </c>
      <c r="D668" s="4" t="str">
        <f>"杨井桑"</f>
        <v>杨井桑</v>
      </c>
      <c r="E668" s="4" t="str">
        <f t="shared" si="49"/>
        <v>女</v>
      </c>
    </row>
    <row r="669" customHeight="1" spans="1:5">
      <c r="A669" s="4">
        <v>667</v>
      </c>
      <c r="B669" s="4" t="str">
        <f>"431720220811100745242243"</f>
        <v>431720220811100745242243</v>
      </c>
      <c r="C669" s="5" t="s">
        <v>7</v>
      </c>
      <c r="D669" s="4" t="str">
        <f>"林鑫"</f>
        <v>林鑫</v>
      </c>
      <c r="E669" s="4" t="str">
        <f t="shared" si="49"/>
        <v>女</v>
      </c>
    </row>
    <row r="670" customHeight="1" spans="1:5">
      <c r="A670" s="4">
        <v>668</v>
      </c>
      <c r="B670" s="4" t="str">
        <f>"431720220811104805242380"</f>
        <v>431720220811104805242380</v>
      </c>
      <c r="C670" s="5" t="s">
        <v>7</v>
      </c>
      <c r="D670" s="4" t="str">
        <f>"张小玉"</f>
        <v>张小玉</v>
      </c>
      <c r="E670" s="4" t="str">
        <f t="shared" si="49"/>
        <v>女</v>
      </c>
    </row>
    <row r="671" customHeight="1" spans="1:5">
      <c r="A671" s="4">
        <v>669</v>
      </c>
      <c r="B671" s="4" t="str">
        <f>"431720220811112702242493"</f>
        <v>431720220811112702242493</v>
      </c>
      <c r="C671" s="5" t="s">
        <v>7</v>
      </c>
      <c r="D671" s="4" t="str">
        <f>"谭春旦"</f>
        <v>谭春旦</v>
      </c>
      <c r="E671" s="4" t="str">
        <f t="shared" si="49"/>
        <v>女</v>
      </c>
    </row>
    <row r="672" customHeight="1" spans="1:5">
      <c r="A672" s="4">
        <v>670</v>
      </c>
      <c r="B672" s="4" t="str">
        <f>"431720220811112938242499"</f>
        <v>431720220811112938242499</v>
      </c>
      <c r="C672" s="5" t="s">
        <v>7</v>
      </c>
      <c r="D672" s="4" t="str">
        <f>"陈亚卉"</f>
        <v>陈亚卉</v>
      </c>
      <c r="E672" s="4" t="str">
        <f t="shared" si="49"/>
        <v>女</v>
      </c>
    </row>
    <row r="673" customHeight="1" spans="1:5">
      <c r="A673" s="4">
        <v>671</v>
      </c>
      <c r="B673" s="4" t="str">
        <f>"431720220811113034242503"</f>
        <v>431720220811113034242503</v>
      </c>
      <c r="C673" s="5" t="s">
        <v>7</v>
      </c>
      <c r="D673" s="4" t="str">
        <f>"曾慧莹"</f>
        <v>曾慧莹</v>
      </c>
      <c r="E673" s="4" t="str">
        <f t="shared" si="49"/>
        <v>女</v>
      </c>
    </row>
    <row r="674" customHeight="1" spans="1:5">
      <c r="A674" s="4">
        <v>672</v>
      </c>
      <c r="B674" s="4" t="str">
        <f>"431720220811113322242507"</f>
        <v>431720220811113322242507</v>
      </c>
      <c r="C674" s="5" t="s">
        <v>7</v>
      </c>
      <c r="D674" s="4" t="str">
        <f>"陈颖三"</f>
        <v>陈颖三</v>
      </c>
      <c r="E674" s="4" t="str">
        <f t="shared" si="49"/>
        <v>女</v>
      </c>
    </row>
    <row r="675" customHeight="1" spans="1:5">
      <c r="A675" s="4">
        <v>673</v>
      </c>
      <c r="B675" s="4" t="str">
        <f>"431720220811115440242561"</f>
        <v>431720220811115440242561</v>
      </c>
      <c r="C675" s="5" t="s">
        <v>7</v>
      </c>
      <c r="D675" s="4" t="str">
        <f>"雷腊妹"</f>
        <v>雷腊妹</v>
      </c>
      <c r="E675" s="4" t="str">
        <f t="shared" si="49"/>
        <v>女</v>
      </c>
    </row>
    <row r="676" customHeight="1" spans="1:5">
      <c r="A676" s="4">
        <v>674</v>
      </c>
      <c r="B676" s="4" t="str">
        <f>"431720220811115452242562"</f>
        <v>431720220811115452242562</v>
      </c>
      <c r="C676" s="5" t="s">
        <v>7</v>
      </c>
      <c r="D676" s="4" t="str">
        <f>"杨小叶"</f>
        <v>杨小叶</v>
      </c>
      <c r="E676" s="4" t="str">
        <f t="shared" si="49"/>
        <v>女</v>
      </c>
    </row>
    <row r="677" customHeight="1" spans="1:5">
      <c r="A677" s="4">
        <v>675</v>
      </c>
      <c r="B677" s="4" t="str">
        <f>"431720220811124143242690"</f>
        <v>431720220811124143242690</v>
      </c>
      <c r="C677" s="5" t="s">
        <v>7</v>
      </c>
      <c r="D677" s="4" t="str">
        <f>"叶艳丽"</f>
        <v>叶艳丽</v>
      </c>
      <c r="E677" s="4" t="str">
        <f t="shared" si="49"/>
        <v>女</v>
      </c>
    </row>
    <row r="678" customHeight="1" spans="1:5">
      <c r="A678" s="4">
        <v>676</v>
      </c>
      <c r="B678" s="4" t="str">
        <f>"431720220811134704242866"</f>
        <v>431720220811134704242866</v>
      </c>
      <c r="C678" s="5" t="s">
        <v>7</v>
      </c>
      <c r="D678" s="4" t="str">
        <f>"冯晓敏"</f>
        <v>冯晓敏</v>
      </c>
      <c r="E678" s="4" t="str">
        <f t="shared" si="49"/>
        <v>女</v>
      </c>
    </row>
    <row r="679" customHeight="1" spans="1:5">
      <c r="A679" s="4">
        <v>677</v>
      </c>
      <c r="B679" s="4" t="str">
        <f>"431720220811135207242878"</f>
        <v>431720220811135207242878</v>
      </c>
      <c r="C679" s="5" t="s">
        <v>7</v>
      </c>
      <c r="D679" s="4" t="str">
        <f>"董小爱"</f>
        <v>董小爱</v>
      </c>
      <c r="E679" s="4" t="str">
        <f t="shared" si="49"/>
        <v>女</v>
      </c>
    </row>
    <row r="680" customHeight="1" spans="1:5">
      <c r="A680" s="4">
        <v>678</v>
      </c>
      <c r="B680" s="4" t="str">
        <f>"431720220811152426243161"</f>
        <v>431720220811152426243161</v>
      </c>
      <c r="C680" s="5" t="s">
        <v>7</v>
      </c>
      <c r="D680" s="4" t="str">
        <f>"刘小娟"</f>
        <v>刘小娟</v>
      </c>
      <c r="E680" s="4" t="str">
        <f t="shared" si="49"/>
        <v>女</v>
      </c>
    </row>
    <row r="681" customHeight="1" spans="1:5">
      <c r="A681" s="4">
        <v>679</v>
      </c>
      <c r="B681" s="4" t="str">
        <f>"431720220811152857243179"</f>
        <v>431720220811152857243179</v>
      </c>
      <c r="C681" s="5" t="s">
        <v>7</v>
      </c>
      <c r="D681" s="4" t="str">
        <f>"苏元丽"</f>
        <v>苏元丽</v>
      </c>
      <c r="E681" s="4" t="str">
        <f t="shared" si="49"/>
        <v>女</v>
      </c>
    </row>
    <row r="682" customHeight="1" spans="1:5">
      <c r="A682" s="4">
        <v>680</v>
      </c>
      <c r="B682" s="4" t="str">
        <f>"431720220811154237243226"</f>
        <v>431720220811154237243226</v>
      </c>
      <c r="C682" s="5" t="s">
        <v>7</v>
      </c>
      <c r="D682" s="4" t="str">
        <f>"邓惠丹"</f>
        <v>邓惠丹</v>
      </c>
      <c r="E682" s="4" t="str">
        <f t="shared" si="49"/>
        <v>女</v>
      </c>
    </row>
    <row r="683" customHeight="1" spans="1:5">
      <c r="A683" s="4">
        <v>681</v>
      </c>
      <c r="B683" s="4" t="str">
        <f>"431720220811162823243355"</f>
        <v>431720220811162823243355</v>
      </c>
      <c r="C683" s="5" t="s">
        <v>7</v>
      </c>
      <c r="D683" s="4" t="str">
        <f>"李定爱"</f>
        <v>李定爱</v>
      </c>
      <c r="E683" s="4" t="str">
        <f t="shared" si="49"/>
        <v>女</v>
      </c>
    </row>
    <row r="684" customHeight="1" spans="1:5">
      <c r="A684" s="4">
        <v>682</v>
      </c>
      <c r="B684" s="4" t="str">
        <f>"431720220811164055243400"</f>
        <v>431720220811164055243400</v>
      </c>
      <c r="C684" s="5" t="s">
        <v>7</v>
      </c>
      <c r="D684" s="4" t="str">
        <f>"郑叶"</f>
        <v>郑叶</v>
      </c>
      <c r="E684" s="4" t="str">
        <f t="shared" si="49"/>
        <v>女</v>
      </c>
    </row>
    <row r="685" customHeight="1" spans="1:5">
      <c r="A685" s="4">
        <v>683</v>
      </c>
      <c r="B685" s="4" t="str">
        <f>"431720220811164152243402"</f>
        <v>431720220811164152243402</v>
      </c>
      <c r="C685" s="5" t="s">
        <v>7</v>
      </c>
      <c r="D685" s="4" t="str">
        <f>"王秀丽"</f>
        <v>王秀丽</v>
      </c>
      <c r="E685" s="4" t="str">
        <f t="shared" si="49"/>
        <v>女</v>
      </c>
    </row>
    <row r="686" customHeight="1" spans="1:5">
      <c r="A686" s="4">
        <v>684</v>
      </c>
      <c r="B686" s="4" t="str">
        <f>"431720220811165512243436"</f>
        <v>431720220811165512243436</v>
      </c>
      <c r="C686" s="5" t="s">
        <v>7</v>
      </c>
      <c r="D686" s="4" t="str">
        <f>"陈海霞"</f>
        <v>陈海霞</v>
      </c>
      <c r="E686" s="4" t="str">
        <f t="shared" si="49"/>
        <v>女</v>
      </c>
    </row>
    <row r="687" customHeight="1" spans="1:5">
      <c r="A687" s="4">
        <v>685</v>
      </c>
      <c r="B687" s="4" t="str">
        <f>"431720220811165638243441"</f>
        <v>431720220811165638243441</v>
      </c>
      <c r="C687" s="5" t="s">
        <v>7</v>
      </c>
      <c r="D687" s="4" t="str">
        <f>"姚冬燕"</f>
        <v>姚冬燕</v>
      </c>
      <c r="E687" s="4" t="str">
        <f t="shared" si="49"/>
        <v>女</v>
      </c>
    </row>
    <row r="688" customHeight="1" spans="1:5">
      <c r="A688" s="4">
        <v>686</v>
      </c>
      <c r="B688" s="4" t="str">
        <f>"431720220811182214243545"</f>
        <v>431720220811182214243545</v>
      </c>
      <c r="C688" s="5" t="s">
        <v>7</v>
      </c>
      <c r="D688" s="4" t="str">
        <f>"韦彩丹"</f>
        <v>韦彩丹</v>
      </c>
      <c r="E688" s="4" t="str">
        <f t="shared" si="49"/>
        <v>女</v>
      </c>
    </row>
    <row r="689" customHeight="1" spans="1:5">
      <c r="A689" s="4">
        <v>687</v>
      </c>
      <c r="B689" s="4" t="str">
        <f>"431720220811183920243551"</f>
        <v>431720220811183920243551</v>
      </c>
      <c r="C689" s="5" t="s">
        <v>7</v>
      </c>
      <c r="D689" s="4" t="str">
        <f>"赖忆连"</f>
        <v>赖忆连</v>
      </c>
      <c r="E689" s="4" t="str">
        <f t="shared" si="49"/>
        <v>女</v>
      </c>
    </row>
    <row r="690" customHeight="1" spans="1:5">
      <c r="A690" s="4">
        <v>688</v>
      </c>
      <c r="B690" s="4" t="str">
        <f>"431720220811185240243556"</f>
        <v>431720220811185240243556</v>
      </c>
      <c r="C690" s="5" t="s">
        <v>7</v>
      </c>
      <c r="D690" s="4" t="str">
        <f>"肖林琳"</f>
        <v>肖林琳</v>
      </c>
      <c r="E690" s="4" t="str">
        <f t="shared" si="49"/>
        <v>女</v>
      </c>
    </row>
    <row r="691" customHeight="1" spans="1:5">
      <c r="A691" s="4">
        <v>689</v>
      </c>
      <c r="B691" s="4" t="str">
        <f>"431720220811191404243565"</f>
        <v>431720220811191404243565</v>
      </c>
      <c r="C691" s="5" t="s">
        <v>7</v>
      </c>
      <c r="D691" s="4" t="str">
        <f>"倪金娇"</f>
        <v>倪金娇</v>
      </c>
      <c r="E691" s="4" t="str">
        <f t="shared" si="49"/>
        <v>女</v>
      </c>
    </row>
    <row r="692" customHeight="1" spans="1:5">
      <c r="A692" s="4">
        <v>690</v>
      </c>
      <c r="B692" s="4" t="str">
        <f>"431720220811200758243595"</f>
        <v>431720220811200758243595</v>
      </c>
      <c r="C692" s="5" t="s">
        <v>7</v>
      </c>
      <c r="D692" s="4" t="str">
        <f>"王小转"</f>
        <v>王小转</v>
      </c>
      <c r="E692" s="4" t="str">
        <f t="shared" si="49"/>
        <v>女</v>
      </c>
    </row>
    <row r="693" customHeight="1" spans="1:5">
      <c r="A693" s="4">
        <v>691</v>
      </c>
      <c r="B693" s="4" t="str">
        <f>"431720220811205817243624"</f>
        <v>431720220811205817243624</v>
      </c>
      <c r="C693" s="5" t="s">
        <v>7</v>
      </c>
      <c r="D693" s="4" t="str">
        <f>"王雪琴"</f>
        <v>王雪琴</v>
      </c>
      <c r="E693" s="4" t="str">
        <f t="shared" si="49"/>
        <v>女</v>
      </c>
    </row>
    <row r="694" customHeight="1" spans="1:5">
      <c r="A694" s="4">
        <v>692</v>
      </c>
      <c r="B694" s="4" t="str">
        <f>"431720220811214218243647"</f>
        <v>431720220811214218243647</v>
      </c>
      <c r="C694" s="5" t="s">
        <v>7</v>
      </c>
      <c r="D694" s="4" t="str">
        <f>"王月玲"</f>
        <v>王月玲</v>
      </c>
      <c r="E694" s="4" t="str">
        <f t="shared" si="49"/>
        <v>女</v>
      </c>
    </row>
    <row r="695" customHeight="1" spans="1:5">
      <c r="A695" s="4">
        <v>693</v>
      </c>
      <c r="B695" s="4" t="str">
        <f>"431720220811214420243651"</f>
        <v>431720220811214420243651</v>
      </c>
      <c r="C695" s="5" t="s">
        <v>7</v>
      </c>
      <c r="D695" s="4" t="str">
        <f>"蔡静"</f>
        <v>蔡静</v>
      </c>
      <c r="E695" s="4" t="str">
        <f t="shared" si="49"/>
        <v>女</v>
      </c>
    </row>
    <row r="696" customHeight="1" spans="1:5">
      <c r="A696" s="4">
        <v>694</v>
      </c>
      <c r="B696" s="4" t="str">
        <f>"431720220811220654243668"</f>
        <v>431720220811220654243668</v>
      </c>
      <c r="C696" s="5" t="s">
        <v>7</v>
      </c>
      <c r="D696" s="4" t="str">
        <f>"翁先仙"</f>
        <v>翁先仙</v>
      </c>
      <c r="E696" s="4" t="str">
        <f t="shared" si="49"/>
        <v>女</v>
      </c>
    </row>
    <row r="697" customHeight="1" spans="1:5">
      <c r="A697" s="4">
        <v>695</v>
      </c>
      <c r="B697" s="4" t="str">
        <f>"431720220811222042243674"</f>
        <v>431720220811222042243674</v>
      </c>
      <c r="C697" s="5" t="s">
        <v>7</v>
      </c>
      <c r="D697" s="4" t="str">
        <f>"陈科霖"</f>
        <v>陈科霖</v>
      </c>
      <c r="E697" s="4" t="str">
        <f>"男"</f>
        <v>男</v>
      </c>
    </row>
    <row r="698" customHeight="1" spans="1:5">
      <c r="A698" s="4">
        <v>696</v>
      </c>
      <c r="B698" s="4" t="str">
        <f>"431720220811224530243695"</f>
        <v>431720220811224530243695</v>
      </c>
      <c r="C698" s="5" t="s">
        <v>7</v>
      </c>
      <c r="D698" s="4" t="str">
        <f>"赵国秀"</f>
        <v>赵国秀</v>
      </c>
      <c r="E698" s="4" t="str">
        <f t="shared" ref="E698:E702" si="50">"女"</f>
        <v>女</v>
      </c>
    </row>
    <row r="699" customHeight="1" spans="1:5">
      <c r="A699" s="4">
        <v>697</v>
      </c>
      <c r="B699" s="4" t="str">
        <f>"431720220811225037243696"</f>
        <v>431720220811225037243696</v>
      </c>
      <c r="C699" s="5" t="s">
        <v>7</v>
      </c>
      <c r="D699" s="4" t="str">
        <f>"王峥兰"</f>
        <v>王峥兰</v>
      </c>
      <c r="E699" s="4" t="str">
        <f t="shared" si="50"/>
        <v>女</v>
      </c>
    </row>
    <row r="700" customHeight="1" spans="1:5">
      <c r="A700" s="4">
        <v>698</v>
      </c>
      <c r="B700" s="4" t="str">
        <f>"431720220811231150243708"</f>
        <v>431720220811231150243708</v>
      </c>
      <c r="C700" s="5" t="s">
        <v>7</v>
      </c>
      <c r="D700" s="4" t="str">
        <f>"黎观荣"</f>
        <v>黎观荣</v>
      </c>
      <c r="E700" s="4" t="str">
        <f t="shared" si="50"/>
        <v>女</v>
      </c>
    </row>
    <row r="701" customHeight="1" spans="1:5">
      <c r="A701" s="4">
        <v>699</v>
      </c>
      <c r="B701" s="4" t="str">
        <f>"431720220811232813243714"</f>
        <v>431720220811232813243714</v>
      </c>
      <c r="C701" s="5" t="s">
        <v>7</v>
      </c>
      <c r="D701" s="4" t="str">
        <f>"何雄玲"</f>
        <v>何雄玲</v>
      </c>
      <c r="E701" s="4" t="str">
        <f t="shared" si="50"/>
        <v>女</v>
      </c>
    </row>
    <row r="702" customHeight="1" spans="1:5">
      <c r="A702" s="4">
        <v>700</v>
      </c>
      <c r="B702" s="4" t="str">
        <f>"431720220811232845243715"</f>
        <v>431720220811232845243715</v>
      </c>
      <c r="C702" s="5" t="s">
        <v>7</v>
      </c>
      <c r="D702" s="4" t="str">
        <f>"羊焕莲"</f>
        <v>羊焕莲</v>
      </c>
      <c r="E702" s="4" t="str">
        <f t="shared" si="50"/>
        <v>女</v>
      </c>
    </row>
    <row r="703" customHeight="1" spans="1:5">
      <c r="A703" s="4">
        <v>701</v>
      </c>
      <c r="B703" s="4" t="str">
        <f>"431720220811235700243732"</f>
        <v>431720220811235700243732</v>
      </c>
      <c r="C703" s="5" t="s">
        <v>7</v>
      </c>
      <c r="D703" s="4" t="str">
        <f>"张昌越"</f>
        <v>张昌越</v>
      </c>
      <c r="E703" s="4" t="str">
        <f t="shared" ref="E703:E708" si="51">"男"</f>
        <v>男</v>
      </c>
    </row>
    <row r="704" customHeight="1" spans="1:5">
      <c r="A704" s="4">
        <v>702</v>
      </c>
      <c r="B704" s="4" t="str">
        <f>"431720220812001143243742"</f>
        <v>431720220812001143243742</v>
      </c>
      <c r="C704" s="5" t="s">
        <v>7</v>
      </c>
      <c r="D704" s="4" t="str">
        <f>"韦腾婷"</f>
        <v>韦腾婷</v>
      </c>
      <c r="E704" s="4" t="str">
        <f t="shared" ref="E704:E707" si="52">"女"</f>
        <v>女</v>
      </c>
    </row>
    <row r="705" customHeight="1" spans="1:5">
      <c r="A705" s="4">
        <v>703</v>
      </c>
      <c r="B705" s="4" t="str">
        <f>"431720220812014926243756"</f>
        <v>431720220812014926243756</v>
      </c>
      <c r="C705" s="5" t="s">
        <v>7</v>
      </c>
      <c r="D705" s="4" t="str">
        <f>"王淇"</f>
        <v>王淇</v>
      </c>
      <c r="E705" s="4" t="str">
        <f t="shared" si="52"/>
        <v>女</v>
      </c>
    </row>
    <row r="706" customHeight="1" spans="1:5">
      <c r="A706" s="4">
        <v>704</v>
      </c>
      <c r="B706" s="4" t="str">
        <f>"431720220812034456243759"</f>
        <v>431720220812034456243759</v>
      </c>
      <c r="C706" s="5" t="s">
        <v>7</v>
      </c>
      <c r="D706" s="4" t="str">
        <f>"王坤"</f>
        <v>王坤</v>
      </c>
      <c r="E706" s="4" t="str">
        <f t="shared" si="51"/>
        <v>男</v>
      </c>
    </row>
    <row r="707" customHeight="1" spans="1:5">
      <c r="A707" s="4">
        <v>705</v>
      </c>
      <c r="B707" s="4" t="str">
        <f>"431720220812043311243761"</f>
        <v>431720220812043311243761</v>
      </c>
      <c r="C707" s="5" t="s">
        <v>7</v>
      </c>
      <c r="D707" s="4" t="str">
        <f>"林雪慧"</f>
        <v>林雪慧</v>
      </c>
      <c r="E707" s="4" t="str">
        <f t="shared" si="52"/>
        <v>女</v>
      </c>
    </row>
    <row r="708" customHeight="1" spans="1:5">
      <c r="A708" s="4">
        <v>706</v>
      </c>
      <c r="B708" s="4" t="str">
        <f>"431720220812092154243858"</f>
        <v>431720220812092154243858</v>
      </c>
      <c r="C708" s="5" t="s">
        <v>7</v>
      </c>
      <c r="D708" s="4" t="str">
        <f>"林升恒"</f>
        <v>林升恒</v>
      </c>
      <c r="E708" s="4" t="str">
        <f t="shared" si="51"/>
        <v>男</v>
      </c>
    </row>
    <row r="709" customHeight="1" spans="1:5">
      <c r="A709" s="4">
        <v>707</v>
      </c>
      <c r="B709" s="4" t="str">
        <f>"431720220812094929243908"</f>
        <v>431720220812094929243908</v>
      </c>
      <c r="C709" s="5" t="s">
        <v>7</v>
      </c>
      <c r="D709" s="4" t="str">
        <f>"羊琼慧"</f>
        <v>羊琼慧</v>
      </c>
      <c r="E709" s="4" t="str">
        <f t="shared" ref="E709:E713" si="53">"女"</f>
        <v>女</v>
      </c>
    </row>
    <row r="710" customHeight="1" spans="1:5">
      <c r="A710" s="4">
        <v>708</v>
      </c>
      <c r="B710" s="4" t="str">
        <f>"431720220812103853244007"</f>
        <v>431720220812103853244007</v>
      </c>
      <c r="C710" s="5" t="s">
        <v>7</v>
      </c>
      <c r="D710" s="4" t="str">
        <f>"郭善梅"</f>
        <v>郭善梅</v>
      </c>
      <c r="E710" s="4" t="str">
        <f t="shared" si="53"/>
        <v>女</v>
      </c>
    </row>
    <row r="711" customHeight="1" spans="1:5">
      <c r="A711" s="4">
        <v>709</v>
      </c>
      <c r="B711" s="4" t="str">
        <f>"431720220812104823244022"</f>
        <v>431720220812104823244022</v>
      </c>
      <c r="C711" s="5" t="s">
        <v>7</v>
      </c>
      <c r="D711" s="4" t="str">
        <f>"符小凤"</f>
        <v>符小凤</v>
      </c>
      <c r="E711" s="4" t="str">
        <f t="shared" si="53"/>
        <v>女</v>
      </c>
    </row>
    <row r="712" customHeight="1" spans="1:5">
      <c r="A712" s="4">
        <v>710</v>
      </c>
      <c r="B712" s="4" t="str">
        <f>"431720220812110937244070"</f>
        <v>431720220812110937244070</v>
      </c>
      <c r="C712" s="5" t="s">
        <v>7</v>
      </c>
      <c r="D712" s="4" t="str">
        <f>"黎经萍"</f>
        <v>黎经萍</v>
      </c>
      <c r="E712" s="4" t="str">
        <f t="shared" si="53"/>
        <v>女</v>
      </c>
    </row>
    <row r="713" customHeight="1" spans="1:5">
      <c r="A713" s="4">
        <v>711</v>
      </c>
      <c r="B713" s="4" t="str">
        <f>"431720220812111951244083"</f>
        <v>431720220812111951244083</v>
      </c>
      <c r="C713" s="5" t="s">
        <v>7</v>
      </c>
      <c r="D713" s="4" t="str">
        <f>"王小宁"</f>
        <v>王小宁</v>
      </c>
      <c r="E713" s="4" t="str">
        <f t="shared" si="53"/>
        <v>女</v>
      </c>
    </row>
    <row r="714" customHeight="1" spans="1:5">
      <c r="A714" s="4">
        <v>712</v>
      </c>
      <c r="B714" s="4" t="str">
        <f>"431720220812112220244087"</f>
        <v>431720220812112220244087</v>
      </c>
      <c r="C714" s="5" t="s">
        <v>7</v>
      </c>
      <c r="D714" s="4" t="str">
        <f>"赵晓明"</f>
        <v>赵晓明</v>
      </c>
      <c r="E714" s="4" t="str">
        <f t="shared" ref="E714:E717" si="54">"男"</f>
        <v>男</v>
      </c>
    </row>
    <row r="715" customHeight="1" spans="1:5">
      <c r="A715" s="4">
        <v>713</v>
      </c>
      <c r="B715" s="4" t="str">
        <f>"431720220812115625244135"</f>
        <v>431720220812115625244135</v>
      </c>
      <c r="C715" s="5" t="s">
        <v>7</v>
      </c>
      <c r="D715" s="4" t="str">
        <f>"王扬"</f>
        <v>王扬</v>
      </c>
      <c r="E715" s="4" t="str">
        <f t="shared" si="54"/>
        <v>男</v>
      </c>
    </row>
    <row r="716" customHeight="1" spans="1:5">
      <c r="A716" s="4">
        <v>714</v>
      </c>
      <c r="B716" s="4" t="str">
        <f>"431720220812122120244170"</f>
        <v>431720220812122120244170</v>
      </c>
      <c r="C716" s="5" t="s">
        <v>7</v>
      </c>
      <c r="D716" s="4" t="str">
        <f>"邱小喜"</f>
        <v>邱小喜</v>
      </c>
      <c r="E716" s="4" t="str">
        <f t="shared" ref="E716:E725" si="55">"女"</f>
        <v>女</v>
      </c>
    </row>
    <row r="717" customHeight="1" spans="1:5">
      <c r="A717" s="4">
        <v>715</v>
      </c>
      <c r="B717" s="4" t="str">
        <f>"431720220812123111244184"</f>
        <v>431720220812123111244184</v>
      </c>
      <c r="C717" s="5" t="s">
        <v>7</v>
      </c>
      <c r="D717" s="4" t="str">
        <f>"陈垂俊"</f>
        <v>陈垂俊</v>
      </c>
      <c r="E717" s="4" t="str">
        <f t="shared" si="54"/>
        <v>男</v>
      </c>
    </row>
    <row r="718" customHeight="1" spans="1:5">
      <c r="A718" s="4">
        <v>716</v>
      </c>
      <c r="B718" s="4" t="str">
        <f>"431720220812134938244267"</f>
        <v>431720220812134938244267</v>
      </c>
      <c r="C718" s="5" t="s">
        <v>7</v>
      </c>
      <c r="D718" s="4" t="str">
        <f>"杨丽娜"</f>
        <v>杨丽娜</v>
      </c>
      <c r="E718" s="4" t="str">
        <f t="shared" si="55"/>
        <v>女</v>
      </c>
    </row>
    <row r="719" customHeight="1" spans="1:5">
      <c r="A719" s="4">
        <v>717</v>
      </c>
      <c r="B719" s="4" t="str">
        <f>"431720220812142052244293"</f>
        <v>431720220812142052244293</v>
      </c>
      <c r="C719" s="5" t="s">
        <v>7</v>
      </c>
      <c r="D719" s="4" t="str">
        <f>"陈芳"</f>
        <v>陈芳</v>
      </c>
      <c r="E719" s="4" t="str">
        <f t="shared" si="55"/>
        <v>女</v>
      </c>
    </row>
    <row r="720" customHeight="1" spans="1:5">
      <c r="A720" s="4">
        <v>718</v>
      </c>
      <c r="B720" s="4" t="str">
        <f>"431720220812150422244340"</f>
        <v>431720220812150422244340</v>
      </c>
      <c r="C720" s="5" t="s">
        <v>7</v>
      </c>
      <c r="D720" s="4" t="str">
        <f>"羊汐"</f>
        <v>羊汐</v>
      </c>
      <c r="E720" s="4" t="str">
        <f t="shared" si="55"/>
        <v>女</v>
      </c>
    </row>
    <row r="721" customHeight="1" spans="1:5">
      <c r="A721" s="4">
        <v>719</v>
      </c>
      <c r="B721" s="4" t="str">
        <f>"431720220812151512244360"</f>
        <v>431720220812151512244360</v>
      </c>
      <c r="C721" s="5" t="s">
        <v>7</v>
      </c>
      <c r="D721" s="4" t="str">
        <f>"王娆婧"</f>
        <v>王娆婧</v>
      </c>
      <c r="E721" s="4" t="str">
        <f t="shared" si="55"/>
        <v>女</v>
      </c>
    </row>
    <row r="722" customHeight="1" spans="1:5">
      <c r="A722" s="4">
        <v>720</v>
      </c>
      <c r="B722" s="4" t="str">
        <f>"431720220812163538244479"</f>
        <v>431720220812163538244479</v>
      </c>
      <c r="C722" s="5" t="s">
        <v>7</v>
      </c>
      <c r="D722" s="4" t="str">
        <f>"古德丽"</f>
        <v>古德丽</v>
      </c>
      <c r="E722" s="4" t="str">
        <f t="shared" si="55"/>
        <v>女</v>
      </c>
    </row>
    <row r="723" customHeight="1" spans="1:5">
      <c r="A723" s="4">
        <v>721</v>
      </c>
      <c r="B723" s="4" t="str">
        <f>"431720220806090108231179"</f>
        <v>431720220806090108231179</v>
      </c>
      <c r="C723" s="5" t="s">
        <v>8</v>
      </c>
      <c r="D723" s="4" t="str">
        <f>"黄小玲"</f>
        <v>黄小玲</v>
      </c>
      <c r="E723" s="4" t="str">
        <f t="shared" si="55"/>
        <v>女</v>
      </c>
    </row>
    <row r="724" customHeight="1" spans="1:5">
      <c r="A724" s="4">
        <v>722</v>
      </c>
      <c r="B724" s="4" t="str">
        <f>"431720220806114444231708"</f>
        <v>431720220806114444231708</v>
      </c>
      <c r="C724" s="5" t="s">
        <v>8</v>
      </c>
      <c r="D724" s="4" t="str">
        <f>"李娜"</f>
        <v>李娜</v>
      </c>
      <c r="E724" s="4" t="str">
        <f t="shared" si="55"/>
        <v>女</v>
      </c>
    </row>
    <row r="725" customHeight="1" spans="1:5">
      <c r="A725" s="4">
        <v>723</v>
      </c>
      <c r="B725" s="4" t="str">
        <f>"431720220806134006232015"</f>
        <v>431720220806134006232015</v>
      </c>
      <c r="C725" s="5" t="s">
        <v>8</v>
      </c>
      <c r="D725" s="4" t="str">
        <f>"李雪"</f>
        <v>李雪</v>
      </c>
      <c r="E725" s="4" t="str">
        <f t="shared" si="55"/>
        <v>女</v>
      </c>
    </row>
    <row r="726" customHeight="1" spans="1:5">
      <c r="A726" s="4">
        <v>724</v>
      </c>
      <c r="B726" s="4" t="str">
        <f>"431720220806155905232296"</f>
        <v>431720220806155905232296</v>
      </c>
      <c r="C726" s="5" t="s">
        <v>8</v>
      </c>
      <c r="D726" s="4" t="str">
        <f>"黄炎森"</f>
        <v>黄炎森</v>
      </c>
      <c r="E726" s="4" t="str">
        <f>"男"</f>
        <v>男</v>
      </c>
    </row>
    <row r="727" customHeight="1" spans="1:5">
      <c r="A727" s="4">
        <v>725</v>
      </c>
      <c r="B727" s="4" t="str">
        <f>"431720220806161614232331"</f>
        <v>431720220806161614232331</v>
      </c>
      <c r="C727" s="5" t="s">
        <v>8</v>
      </c>
      <c r="D727" s="4" t="str">
        <f>"羊代菊"</f>
        <v>羊代菊</v>
      </c>
      <c r="E727" s="4" t="str">
        <f t="shared" ref="E727:E783" si="56">"女"</f>
        <v>女</v>
      </c>
    </row>
    <row r="728" customHeight="1" spans="1:5">
      <c r="A728" s="4">
        <v>726</v>
      </c>
      <c r="B728" s="4" t="str">
        <f>"431720220806224502232826"</f>
        <v>431720220806224502232826</v>
      </c>
      <c r="C728" s="5" t="s">
        <v>8</v>
      </c>
      <c r="D728" s="4" t="str">
        <f>"王华琴"</f>
        <v>王华琴</v>
      </c>
      <c r="E728" s="4" t="str">
        <f t="shared" si="56"/>
        <v>女</v>
      </c>
    </row>
    <row r="729" customHeight="1" spans="1:5">
      <c r="A729" s="4">
        <v>727</v>
      </c>
      <c r="B729" s="4" t="str">
        <f>"431720220807111503233084"</f>
        <v>431720220807111503233084</v>
      </c>
      <c r="C729" s="5" t="s">
        <v>8</v>
      </c>
      <c r="D729" s="4" t="str">
        <f>"陈小妹"</f>
        <v>陈小妹</v>
      </c>
      <c r="E729" s="4" t="str">
        <f t="shared" si="56"/>
        <v>女</v>
      </c>
    </row>
    <row r="730" customHeight="1" spans="1:5">
      <c r="A730" s="4">
        <v>728</v>
      </c>
      <c r="B730" s="4" t="str">
        <f>"431720220807112908233091"</f>
        <v>431720220807112908233091</v>
      </c>
      <c r="C730" s="5" t="s">
        <v>8</v>
      </c>
      <c r="D730" s="4" t="str">
        <f>"陈才竹"</f>
        <v>陈才竹</v>
      </c>
      <c r="E730" s="4" t="str">
        <f t="shared" si="56"/>
        <v>女</v>
      </c>
    </row>
    <row r="731" customHeight="1" spans="1:5">
      <c r="A731" s="4">
        <v>729</v>
      </c>
      <c r="B731" s="4" t="str">
        <f>"431720220807130435233181"</f>
        <v>431720220807130435233181</v>
      </c>
      <c r="C731" s="5" t="s">
        <v>8</v>
      </c>
      <c r="D731" s="4" t="str">
        <f>"王晓丽"</f>
        <v>王晓丽</v>
      </c>
      <c r="E731" s="4" t="str">
        <f t="shared" si="56"/>
        <v>女</v>
      </c>
    </row>
    <row r="732" customHeight="1" spans="1:5">
      <c r="A732" s="4">
        <v>730</v>
      </c>
      <c r="B732" s="4" t="str">
        <f>"431720220807190445233514"</f>
        <v>431720220807190445233514</v>
      </c>
      <c r="C732" s="5" t="s">
        <v>8</v>
      </c>
      <c r="D732" s="4" t="str">
        <f>"何丽芳"</f>
        <v>何丽芳</v>
      </c>
      <c r="E732" s="4" t="str">
        <f t="shared" si="56"/>
        <v>女</v>
      </c>
    </row>
    <row r="733" customHeight="1" spans="1:5">
      <c r="A733" s="4">
        <v>731</v>
      </c>
      <c r="B733" s="4" t="str">
        <f>"431720220807222755233635"</f>
        <v>431720220807222755233635</v>
      </c>
      <c r="C733" s="5" t="s">
        <v>8</v>
      </c>
      <c r="D733" s="4" t="str">
        <f>"曾晓梅"</f>
        <v>曾晓梅</v>
      </c>
      <c r="E733" s="4" t="str">
        <f t="shared" si="56"/>
        <v>女</v>
      </c>
    </row>
    <row r="734" customHeight="1" spans="1:5">
      <c r="A734" s="4">
        <v>732</v>
      </c>
      <c r="B734" s="4" t="str">
        <f>"431720220808095600234421"</f>
        <v>431720220808095600234421</v>
      </c>
      <c r="C734" s="5" t="s">
        <v>8</v>
      </c>
      <c r="D734" s="4" t="str">
        <f>"羊少静"</f>
        <v>羊少静</v>
      </c>
      <c r="E734" s="4" t="str">
        <f t="shared" si="56"/>
        <v>女</v>
      </c>
    </row>
    <row r="735" customHeight="1" spans="1:5">
      <c r="A735" s="4">
        <v>733</v>
      </c>
      <c r="B735" s="4" t="str">
        <f>"431720220808132830235364"</f>
        <v>431720220808132830235364</v>
      </c>
      <c r="C735" s="5" t="s">
        <v>8</v>
      </c>
      <c r="D735" s="4" t="str">
        <f>"陈珊珊"</f>
        <v>陈珊珊</v>
      </c>
      <c r="E735" s="4" t="str">
        <f t="shared" si="56"/>
        <v>女</v>
      </c>
    </row>
    <row r="736" customHeight="1" spans="1:5">
      <c r="A736" s="4">
        <v>734</v>
      </c>
      <c r="B736" s="4" t="str">
        <f>"431720220808155227235778"</f>
        <v>431720220808155227235778</v>
      </c>
      <c r="C736" s="5" t="s">
        <v>8</v>
      </c>
      <c r="D736" s="4" t="str">
        <f>"海瑶"</f>
        <v>海瑶</v>
      </c>
      <c r="E736" s="4" t="str">
        <f t="shared" si="56"/>
        <v>女</v>
      </c>
    </row>
    <row r="737" customHeight="1" spans="1:5">
      <c r="A737" s="4">
        <v>735</v>
      </c>
      <c r="B737" s="4" t="str">
        <f>"431720220808185412236310"</f>
        <v>431720220808185412236310</v>
      </c>
      <c r="C737" s="5" t="s">
        <v>8</v>
      </c>
      <c r="D737" s="4" t="str">
        <f>"陈章怡"</f>
        <v>陈章怡</v>
      </c>
      <c r="E737" s="4" t="str">
        <f t="shared" si="56"/>
        <v>女</v>
      </c>
    </row>
    <row r="738" customHeight="1" spans="1:5">
      <c r="A738" s="4">
        <v>736</v>
      </c>
      <c r="B738" s="4" t="str">
        <f>"431720220808195547236458"</f>
        <v>431720220808195547236458</v>
      </c>
      <c r="C738" s="5" t="s">
        <v>8</v>
      </c>
      <c r="D738" s="4" t="str">
        <f>"钟招弟"</f>
        <v>钟招弟</v>
      </c>
      <c r="E738" s="4" t="str">
        <f t="shared" si="56"/>
        <v>女</v>
      </c>
    </row>
    <row r="739" customHeight="1" spans="1:5">
      <c r="A739" s="4">
        <v>737</v>
      </c>
      <c r="B739" s="4" t="str">
        <f>"431720220809151519238145"</f>
        <v>431720220809151519238145</v>
      </c>
      <c r="C739" s="5" t="s">
        <v>8</v>
      </c>
      <c r="D739" s="4" t="str">
        <f>"杨平碗"</f>
        <v>杨平碗</v>
      </c>
      <c r="E739" s="4" t="str">
        <f t="shared" si="56"/>
        <v>女</v>
      </c>
    </row>
    <row r="740" customHeight="1" spans="1:5">
      <c r="A740" s="4">
        <v>738</v>
      </c>
      <c r="B740" s="4" t="str">
        <f>"431720220809223718239067"</f>
        <v>431720220809223718239067</v>
      </c>
      <c r="C740" s="5" t="s">
        <v>8</v>
      </c>
      <c r="D740" s="4" t="str">
        <f>"王文河"</f>
        <v>王文河</v>
      </c>
      <c r="E740" s="4" t="str">
        <f t="shared" si="56"/>
        <v>女</v>
      </c>
    </row>
    <row r="741" customHeight="1" spans="1:5">
      <c r="A741" s="4">
        <v>739</v>
      </c>
      <c r="B741" s="4" t="str">
        <f>"431720220810170649240880"</f>
        <v>431720220810170649240880</v>
      </c>
      <c r="C741" s="5" t="s">
        <v>8</v>
      </c>
      <c r="D741" s="4" t="str">
        <f>"黄海锐"</f>
        <v>黄海锐</v>
      </c>
      <c r="E741" s="4" t="str">
        <f t="shared" si="56"/>
        <v>女</v>
      </c>
    </row>
    <row r="742" customHeight="1" spans="1:5">
      <c r="A742" s="4">
        <v>740</v>
      </c>
      <c r="B742" s="4" t="str">
        <f>"431720220811155928243274"</f>
        <v>431720220811155928243274</v>
      </c>
      <c r="C742" s="5" t="s">
        <v>8</v>
      </c>
      <c r="D742" s="4" t="str">
        <f>"王俊楠"</f>
        <v>王俊楠</v>
      </c>
      <c r="E742" s="4" t="str">
        <f t="shared" si="56"/>
        <v>女</v>
      </c>
    </row>
    <row r="743" customHeight="1" spans="1:5">
      <c r="A743" s="4">
        <v>741</v>
      </c>
      <c r="B743" s="4" t="str">
        <f>"431720220811233644243720"</f>
        <v>431720220811233644243720</v>
      </c>
      <c r="C743" s="5" t="s">
        <v>8</v>
      </c>
      <c r="D743" s="4" t="str">
        <f>"郑海丽"</f>
        <v>郑海丽</v>
      </c>
      <c r="E743" s="4" t="str">
        <f t="shared" si="56"/>
        <v>女</v>
      </c>
    </row>
    <row r="744" customHeight="1" spans="1:5">
      <c r="A744" s="4">
        <v>742</v>
      </c>
      <c r="B744" s="4" t="str">
        <f>"431720220812114835244127"</f>
        <v>431720220812114835244127</v>
      </c>
      <c r="C744" s="5" t="s">
        <v>8</v>
      </c>
      <c r="D744" s="4" t="str">
        <f>"吴佳琪"</f>
        <v>吴佳琪</v>
      </c>
      <c r="E744" s="4" t="str">
        <f t="shared" si="56"/>
        <v>女</v>
      </c>
    </row>
    <row r="745" customHeight="1" spans="1:5">
      <c r="A745" s="4">
        <v>743</v>
      </c>
      <c r="B745" s="4" t="str">
        <f>"431720220812125311244207"</f>
        <v>431720220812125311244207</v>
      </c>
      <c r="C745" s="5" t="s">
        <v>8</v>
      </c>
      <c r="D745" s="4" t="str">
        <f>"叶 江岚"</f>
        <v>叶 江岚</v>
      </c>
      <c r="E745" s="4" t="str">
        <f t="shared" si="56"/>
        <v>女</v>
      </c>
    </row>
    <row r="746" customHeight="1" spans="1:5">
      <c r="A746" s="4">
        <v>744</v>
      </c>
      <c r="B746" s="4" t="str">
        <f>"431720220812150759244347"</f>
        <v>431720220812150759244347</v>
      </c>
      <c r="C746" s="5" t="s">
        <v>8</v>
      </c>
      <c r="D746" s="4" t="str">
        <f>"陈芬"</f>
        <v>陈芬</v>
      </c>
      <c r="E746" s="4" t="str">
        <f t="shared" si="56"/>
        <v>女</v>
      </c>
    </row>
    <row r="747" customHeight="1" spans="1:5">
      <c r="A747" s="4">
        <v>745</v>
      </c>
      <c r="B747" s="4" t="str">
        <f>"431720220812164957244503"</f>
        <v>431720220812164957244503</v>
      </c>
      <c r="C747" s="5" t="s">
        <v>8</v>
      </c>
      <c r="D747" s="4" t="str">
        <f>"朱仪"</f>
        <v>朱仪</v>
      </c>
      <c r="E747" s="4" t="str">
        <f t="shared" si="56"/>
        <v>女</v>
      </c>
    </row>
    <row r="748" customHeight="1" spans="1:5">
      <c r="A748" s="4">
        <v>746</v>
      </c>
      <c r="B748" s="4" t="str">
        <f>"431720220806090759231198"</f>
        <v>431720220806090759231198</v>
      </c>
      <c r="C748" s="5" t="s">
        <v>9</v>
      </c>
      <c r="D748" s="4" t="str">
        <f>"刘甜"</f>
        <v>刘甜</v>
      </c>
      <c r="E748" s="4" t="str">
        <f t="shared" si="56"/>
        <v>女</v>
      </c>
    </row>
    <row r="749" customHeight="1" spans="1:5">
      <c r="A749" s="4">
        <v>747</v>
      </c>
      <c r="B749" s="4" t="str">
        <f>"431720220806091037231209"</f>
        <v>431720220806091037231209</v>
      </c>
      <c r="C749" s="5" t="s">
        <v>9</v>
      </c>
      <c r="D749" s="4" t="str">
        <f>"林云"</f>
        <v>林云</v>
      </c>
      <c r="E749" s="4" t="str">
        <f t="shared" si="56"/>
        <v>女</v>
      </c>
    </row>
    <row r="750" customHeight="1" spans="1:5">
      <c r="A750" s="4">
        <v>748</v>
      </c>
      <c r="B750" s="4" t="str">
        <f>"431720220806093732231298"</f>
        <v>431720220806093732231298</v>
      </c>
      <c r="C750" s="5" t="s">
        <v>9</v>
      </c>
      <c r="D750" s="4" t="str">
        <f>"符丽婷"</f>
        <v>符丽婷</v>
      </c>
      <c r="E750" s="4" t="str">
        <f t="shared" si="56"/>
        <v>女</v>
      </c>
    </row>
    <row r="751" customHeight="1" spans="1:5">
      <c r="A751" s="4">
        <v>749</v>
      </c>
      <c r="B751" s="4" t="str">
        <f>"431720220806100800231405"</f>
        <v>431720220806100800231405</v>
      </c>
      <c r="C751" s="5" t="s">
        <v>9</v>
      </c>
      <c r="D751" s="4" t="str">
        <f>"陈青霞"</f>
        <v>陈青霞</v>
      </c>
      <c r="E751" s="4" t="str">
        <f t="shared" si="56"/>
        <v>女</v>
      </c>
    </row>
    <row r="752" customHeight="1" spans="1:5">
      <c r="A752" s="4">
        <v>750</v>
      </c>
      <c r="B752" s="4" t="str">
        <f>"431720220806101421231424"</f>
        <v>431720220806101421231424</v>
      </c>
      <c r="C752" s="5" t="s">
        <v>9</v>
      </c>
      <c r="D752" s="4" t="str">
        <f>"吴云"</f>
        <v>吴云</v>
      </c>
      <c r="E752" s="4" t="str">
        <f t="shared" si="56"/>
        <v>女</v>
      </c>
    </row>
    <row r="753" customHeight="1" spans="1:5">
      <c r="A753" s="4">
        <v>751</v>
      </c>
      <c r="B753" s="4" t="str">
        <f>"431720220806102936231465"</f>
        <v>431720220806102936231465</v>
      </c>
      <c r="C753" s="5" t="s">
        <v>9</v>
      </c>
      <c r="D753" s="4" t="str">
        <f>"蔡永乐"</f>
        <v>蔡永乐</v>
      </c>
      <c r="E753" s="4" t="str">
        <f t="shared" si="56"/>
        <v>女</v>
      </c>
    </row>
    <row r="754" customHeight="1" spans="1:5">
      <c r="A754" s="4">
        <v>752</v>
      </c>
      <c r="B754" s="4" t="str">
        <f>"431720220806104325231513"</f>
        <v>431720220806104325231513</v>
      </c>
      <c r="C754" s="5" t="s">
        <v>9</v>
      </c>
      <c r="D754" s="4" t="str">
        <f>"何梦妮"</f>
        <v>何梦妮</v>
      </c>
      <c r="E754" s="4" t="str">
        <f t="shared" si="56"/>
        <v>女</v>
      </c>
    </row>
    <row r="755" customHeight="1" spans="1:5">
      <c r="A755" s="4">
        <v>753</v>
      </c>
      <c r="B755" s="4" t="str">
        <f>"431720220806104633231527"</f>
        <v>431720220806104633231527</v>
      </c>
      <c r="C755" s="5" t="s">
        <v>9</v>
      </c>
      <c r="D755" s="4" t="str">
        <f>"朱妙玲"</f>
        <v>朱妙玲</v>
      </c>
      <c r="E755" s="4" t="str">
        <f t="shared" si="56"/>
        <v>女</v>
      </c>
    </row>
    <row r="756" customHeight="1" spans="1:5">
      <c r="A756" s="4">
        <v>754</v>
      </c>
      <c r="B756" s="4" t="str">
        <f>"431720220806105534231552"</f>
        <v>431720220806105534231552</v>
      </c>
      <c r="C756" s="5" t="s">
        <v>9</v>
      </c>
      <c r="D756" s="4" t="str">
        <f>"林可可"</f>
        <v>林可可</v>
      </c>
      <c r="E756" s="4" t="str">
        <f t="shared" si="56"/>
        <v>女</v>
      </c>
    </row>
    <row r="757" customHeight="1" spans="1:5">
      <c r="A757" s="4">
        <v>755</v>
      </c>
      <c r="B757" s="4" t="str">
        <f>"431720220806110519231580"</f>
        <v>431720220806110519231580</v>
      </c>
      <c r="C757" s="5" t="s">
        <v>9</v>
      </c>
      <c r="D757" s="4" t="str">
        <f>"谢淑英"</f>
        <v>谢淑英</v>
      </c>
      <c r="E757" s="4" t="str">
        <f t="shared" si="56"/>
        <v>女</v>
      </c>
    </row>
    <row r="758" customHeight="1" spans="1:5">
      <c r="A758" s="4">
        <v>756</v>
      </c>
      <c r="B758" s="4" t="str">
        <f>"431720220806111155231598"</f>
        <v>431720220806111155231598</v>
      </c>
      <c r="C758" s="5" t="s">
        <v>9</v>
      </c>
      <c r="D758" s="4" t="str">
        <f>"吕宜江"</f>
        <v>吕宜江</v>
      </c>
      <c r="E758" s="4" t="str">
        <f t="shared" si="56"/>
        <v>女</v>
      </c>
    </row>
    <row r="759" customHeight="1" spans="1:5">
      <c r="A759" s="4">
        <v>757</v>
      </c>
      <c r="B759" s="4" t="str">
        <f>"431720220806111337231606"</f>
        <v>431720220806111337231606</v>
      </c>
      <c r="C759" s="5" t="s">
        <v>9</v>
      </c>
      <c r="D759" s="4" t="str">
        <f>"陈洪娇"</f>
        <v>陈洪娇</v>
      </c>
      <c r="E759" s="4" t="str">
        <f t="shared" si="56"/>
        <v>女</v>
      </c>
    </row>
    <row r="760" customHeight="1" spans="1:5">
      <c r="A760" s="4">
        <v>758</v>
      </c>
      <c r="B760" s="4" t="str">
        <f>"431720220806114211231694"</f>
        <v>431720220806114211231694</v>
      </c>
      <c r="C760" s="5" t="s">
        <v>9</v>
      </c>
      <c r="D760" s="4" t="str">
        <f>"黎阿娇"</f>
        <v>黎阿娇</v>
      </c>
      <c r="E760" s="4" t="str">
        <f t="shared" si="56"/>
        <v>女</v>
      </c>
    </row>
    <row r="761" customHeight="1" spans="1:5">
      <c r="A761" s="4">
        <v>759</v>
      </c>
      <c r="B761" s="4" t="str">
        <f>"431720220806114638231714"</f>
        <v>431720220806114638231714</v>
      </c>
      <c r="C761" s="5" t="s">
        <v>9</v>
      </c>
      <c r="D761" s="4" t="str">
        <f>"陈婆燕"</f>
        <v>陈婆燕</v>
      </c>
      <c r="E761" s="4" t="str">
        <f t="shared" si="56"/>
        <v>女</v>
      </c>
    </row>
    <row r="762" customHeight="1" spans="1:5">
      <c r="A762" s="4">
        <v>760</v>
      </c>
      <c r="B762" s="4" t="str">
        <f>"431720220806114836231721"</f>
        <v>431720220806114836231721</v>
      </c>
      <c r="C762" s="5" t="s">
        <v>9</v>
      </c>
      <c r="D762" s="4" t="str">
        <f>"冯铭钰"</f>
        <v>冯铭钰</v>
      </c>
      <c r="E762" s="4" t="str">
        <f t="shared" si="56"/>
        <v>女</v>
      </c>
    </row>
    <row r="763" customHeight="1" spans="1:5">
      <c r="A763" s="4">
        <v>761</v>
      </c>
      <c r="B763" s="4" t="str">
        <f>"431720220806115405231738"</f>
        <v>431720220806115405231738</v>
      </c>
      <c r="C763" s="5" t="s">
        <v>9</v>
      </c>
      <c r="D763" s="4" t="str">
        <f>"李桂萍"</f>
        <v>李桂萍</v>
      </c>
      <c r="E763" s="4" t="str">
        <f t="shared" si="56"/>
        <v>女</v>
      </c>
    </row>
    <row r="764" customHeight="1" spans="1:5">
      <c r="A764" s="4">
        <v>762</v>
      </c>
      <c r="B764" s="4" t="str">
        <f>"431720220806115824231748"</f>
        <v>431720220806115824231748</v>
      </c>
      <c r="C764" s="5" t="s">
        <v>9</v>
      </c>
      <c r="D764" s="4" t="str">
        <f>"吴娟爱"</f>
        <v>吴娟爱</v>
      </c>
      <c r="E764" s="4" t="str">
        <f t="shared" si="56"/>
        <v>女</v>
      </c>
    </row>
    <row r="765" customHeight="1" spans="1:5">
      <c r="A765" s="4">
        <v>763</v>
      </c>
      <c r="B765" s="4" t="str">
        <f>"431720220806120135231758"</f>
        <v>431720220806120135231758</v>
      </c>
      <c r="C765" s="5" t="s">
        <v>9</v>
      </c>
      <c r="D765" s="4" t="str">
        <f>"邢慧娴"</f>
        <v>邢慧娴</v>
      </c>
      <c r="E765" s="4" t="str">
        <f t="shared" si="56"/>
        <v>女</v>
      </c>
    </row>
    <row r="766" customHeight="1" spans="1:5">
      <c r="A766" s="4">
        <v>764</v>
      </c>
      <c r="B766" s="4" t="str">
        <f>"431720220806120840231776"</f>
        <v>431720220806120840231776</v>
      </c>
      <c r="C766" s="5" t="s">
        <v>9</v>
      </c>
      <c r="D766" s="4" t="str">
        <f>"陈秋萍"</f>
        <v>陈秋萍</v>
      </c>
      <c r="E766" s="4" t="str">
        <f t="shared" si="56"/>
        <v>女</v>
      </c>
    </row>
    <row r="767" customHeight="1" spans="1:5">
      <c r="A767" s="4">
        <v>765</v>
      </c>
      <c r="B767" s="4" t="str">
        <f>"431720220806125352231899"</f>
        <v>431720220806125352231899</v>
      </c>
      <c r="C767" s="5" t="s">
        <v>9</v>
      </c>
      <c r="D767" s="4" t="str">
        <f>"陈靓"</f>
        <v>陈靓</v>
      </c>
      <c r="E767" s="4" t="str">
        <f t="shared" si="56"/>
        <v>女</v>
      </c>
    </row>
    <row r="768" customHeight="1" spans="1:5">
      <c r="A768" s="4">
        <v>766</v>
      </c>
      <c r="B768" s="4" t="str">
        <f>"431720220806125521231901"</f>
        <v>431720220806125521231901</v>
      </c>
      <c r="C768" s="5" t="s">
        <v>9</v>
      </c>
      <c r="D768" s="4" t="str">
        <f>"张雨婷"</f>
        <v>张雨婷</v>
      </c>
      <c r="E768" s="4" t="str">
        <f t="shared" si="56"/>
        <v>女</v>
      </c>
    </row>
    <row r="769" customHeight="1" spans="1:5">
      <c r="A769" s="4">
        <v>767</v>
      </c>
      <c r="B769" s="4" t="str">
        <f>"431720220806132934231996"</f>
        <v>431720220806132934231996</v>
      </c>
      <c r="C769" s="5" t="s">
        <v>9</v>
      </c>
      <c r="D769" s="4" t="str">
        <f>"周晓"</f>
        <v>周晓</v>
      </c>
      <c r="E769" s="4" t="str">
        <f t="shared" si="56"/>
        <v>女</v>
      </c>
    </row>
    <row r="770" customHeight="1" spans="1:5">
      <c r="A770" s="4">
        <v>768</v>
      </c>
      <c r="B770" s="4" t="str">
        <f>"431720220806133210232004"</f>
        <v>431720220806133210232004</v>
      </c>
      <c r="C770" s="5" t="s">
        <v>9</v>
      </c>
      <c r="D770" s="4" t="str">
        <f>"陆彩云"</f>
        <v>陆彩云</v>
      </c>
      <c r="E770" s="4" t="str">
        <f t="shared" si="56"/>
        <v>女</v>
      </c>
    </row>
    <row r="771" customHeight="1" spans="1:5">
      <c r="A771" s="4">
        <v>769</v>
      </c>
      <c r="B771" s="4" t="str">
        <f>"431720220806141708232098"</f>
        <v>431720220806141708232098</v>
      </c>
      <c r="C771" s="5" t="s">
        <v>9</v>
      </c>
      <c r="D771" s="4" t="str">
        <f>"符会媛"</f>
        <v>符会媛</v>
      </c>
      <c r="E771" s="4" t="str">
        <f t="shared" si="56"/>
        <v>女</v>
      </c>
    </row>
    <row r="772" customHeight="1" spans="1:5">
      <c r="A772" s="4">
        <v>770</v>
      </c>
      <c r="B772" s="4" t="str">
        <f>"431720220806142800232116"</f>
        <v>431720220806142800232116</v>
      </c>
      <c r="C772" s="5" t="s">
        <v>9</v>
      </c>
      <c r="D772" s="4" t="str">
        <f>"曾一晗"</f>
        <v>曾一晗</v>
      </c>
      <c r="E772" s="4" t="str">
        <f t="shared" si="56"/>
        <v>女</v>
      </c>
    </row>
    <row r="773" customHeight="1" spans="1:5">
      <c r="A773" s="4">
        <v>771</v>
      </c>
      <c r="B773" s="4" t="str">
        <f>"431720220806142810232117"</f>
        <v>431720220806142810232117</v>
      </c>
      <c r="C773" s="5" t="s">
        <v>9</v>
      </c>
      <c r="D773" s="4" t="str">
        <f>"薛桃秋"</f>
        <v>薛桃秋</v>
      </c>
      <c r="E773" s="4" t="str">
        <f t="shared" si="56"/>
        <v>女</v>
      </c>
    </row>
    <row r="774" customHeight="1" spans="1:5">
      <c r="A774" s="4">
        <v>772</v>
      </c>
      <c r="B774" s="4" t="str">
        <f>"431720220806143927232135"</f>
        <v>431720220806143927232135</v>
      </c>
      <c r="C774" s="5" t="s">
        <v>9</v>
      </c>
      <c r="D774" s="4" t="str">
        <f>"丁悦娴"</f>
        <v>丁悦娴</v>
      </c>
      <c r="E774" s="4" t="str">
        <f t="shared" si="56"/>
        <v>女</v>
      </c>
    </row>
    <row r="775" customHeight="1" spans="1:5">
      <c r="A775" s="4">
        <v>773</v>
      </c>
      <c r="B775" s="4" t="str">
        <f>"431720220806144848232161"</f>
        <v>431720220806144848232161</v>
      </c>
      <c r="C775" s="5" t="s">
        <v>9</v>
      </c>
      <c r="D775" s="4" t="str">
        <f>"江青娥"</f>
        <v>江青娥</v>
      </c>
      <c r="E775" s="4" t="str">
        <f t="shared" si="56"/>
        <v>女</v>
      </c>
    </row>
    <row r="776" customHeight="1" spans="1:5">
      <c r="A776" s="4">
        <v>774</v>
      </c>
      <c r="B776" s="4" t="str">
        <f>"431720220806145806232176"</f>
        <v>431720220806145806232176</v>
      </c>
      <c r="C776" s="5" t="s">
        <v>9</v>
      </c>
      <c r="D776" s="4" t="str">
        <f>"符海娟"</f>
        <v>符海娟</v>
      </c>
      <c r="E776" s="4" t="str">
        <f t="shared" si="56"/>
        <v>女</v>
      </c>
    </row>
    <row r="777" customHeight="1" spans="1:5">
      <c r="A777" s="4">
        <v>775</v>
      </c>
      <c r="B777" s="4" t="str">
        <f>"431720220806155529232289"</f>
        <v>431720220806155529232289</v>
      </c>
      <c r="C777" s="5" t="s">
        <v>9</v>
      </c>
      <c r="D777" s="4" t="str">
        <f>"符凌潇"</f>
        <v>符凌潇</v>
      </c>
      <c r="E777" s="4" t="str">
        <f t="shared" si="56"/>
        <v>女</v>
      </c>
    </row>
    <row r="778" customHeight="1" spans="1:5">
      <c r="A778" s="4">
        <v>776</v>
      </c>
      <c r="B778" s="4" t="str">
        <f>"431720220806163437232381"</f>
        <v>431720220806163437232381</v>
      </c>
      <c r="C778" s="5" t="s">
        <v>9</v>
      </c>
      <c r="D778" s="4" t="str">
        <f>"吴小妹"</f>
        <v>吴小妹</v>
      </c>
      <c r="E778" s="4" t="str">
        <f t="shared" si="56"/>
        <v>女</v>
      </c>
    </row>
    <row r="779" customHeight="1" spans="1:5">
      <c r="A779" s="4">
        <v>777</v>
      </c>
      <c r="B779" s="4" t="str">
        <f>"431720220806164225232397"</f>
        <v>431720220806164225232397</v>
      </c>
      <c r="C779" s="5" t="s">
        <v>9</v>
      </c>
      <c r="D779" s="4" t="str">
        <f>"陈淑婷"</f>
        <v>陈淑婷</v>
      </c>
      <c r="E779" s="4" t="str">
        <f t="shared" si="56"/>
        <v>女</v>
      </c>
    </row>
    <row r="780" customHeight="1" spans="1:5">
      <c r="A780" s="4">
        <v>778</v>
      </c>
      <c r="B780" s="4" t="str">
        <f>"431720220806171443232448"</f>
        <v>431720220806171443232448</v>
      </c>
      <c r="C780" s="5" t="s">
        <v>9</v>
      </c>
      <c r="D780" s="4" t="str">
        <f>"李雪皓"</f>
        <v>李雪皓</v>
      </c>
      <c r="E780" s="4" t="str">
        <f t="shared" si="56"/>
        <v>女</v>
      </c>
    </row>
    <row r="781" customHeight="1" spans="1:5">
      <c r="A781" s="4">
        <v>779</v>
      </c>
      <c r="B781" s="4" t="str">
        <f>"431720220806172214232469"</f>
        <v>431720220806172214232469</v>
      </c>
      <c r="C781" s="5" t="s">
        <v>9</v>
      </c>
      <c r="D781" s="4" t="str">
        <f>"李海川"</f>
        <v>李海川</v>
      </c>
      <c r="E781" s="4" t="str">
        <f t="shared" si="56"/>
        <v>女</v>
      </c>
    </row>
    <row r="782" customHeight="1" spans="1:5">
      <c r="A782" s="4">
        <v>780</v>
      </c>
      <c r="B782" s="4" t="str">
        <f>"431720220806172557232479"</f>
        <v>431720220806172557232479</v>
      </c>
      <c r="C782" s="5" t="s">
        <v>9</v>
      </c>
      <c r="D782" s="4" t="str">
        <f>"孙雅娜"</f>
        <v>孙雅娜</v>
      </c>
      <c r="E782" s="4" t="str">
        <f t="shared" si="56"/>
        <v>女</v>
      </c>
    </row>
    <row r="783" customHeight="1" spans="1:5">
      <c r="A783" s="4">
        <v>781</v>
      </c>
      <c r="B783" s="4" t="str">
        <f>"431720220806173145232488"</f>
        <v>431720220806173145232488</v>
      </c>
      <c r="C783" s="5" t="s">
        <v>9</v>
      </c>
      <c r="D783" s="4" t="str">
        <f>"李维芳"</f>
        <v>李维芳</v>
      </c>
      <c r="E783" s="4" t="str">
        <f t="shared" si="56"/>
        <v>女</v>
      </c>
    </row>
    <row r="784" customHeight="1" spans="1:5">
      <c r="A784" s="4">
        <v>782</v>
      </c>
      <c r="B784" s="4" t="str">
        <f>"431720220806173549232491"</f>
        <v>431720220806173549232491</v>
      </c>
      <c r="C784" s="5" t="s">
        <v>9</v>
      </c>
      <c r="D784" s="4" t="str">
        <f>"王长宝"</f>
        <v>王长宝</v>
      </c>
      <c r="E784" s="4" t="str">
        <f>"男"</f>
        <v>男</v>
      </c>
    </row>
    <row r="785" customHeight="1" spans="1:5">
      <c r="A785" s="4">
        <v>783</v>
      </c>
      <c r="B785" s="4" t="str">
        <f>"431720220806192422232602"</f>
        <v>431720220806192422232602</v>
      </c>
      <c r="C785" s="5" t="s">
        <v>9</v>
      </c>
      <c r="D785" s="4" t="str">
        <f>"符坤梅"</f>
        <v>符坤梅</v>
      </c>
      <c r="E785" s="4" t="str">
        <f t="shared" ref="E785:E797" si="57">"女"</f>
        <v>女</v>
      </c>
    </row>
    <row r="786" customHeight="1" spans="1:5">
      <c r="A786" s="4">
        <v>784</v>
      </c>
      <c r="B786" s="4" t="str">
        <f>"431720220806193206232615"</f>
        <v>431720220806193206232615</v>
      </c>
      <c r="C786" s="5" t="s">
        <v>9</v>
      </c>
      <c r="D786" s="4" t="str">
        <f>"赵月秀"</f>
        <v>赵月秀</v>
      </c>
      <c r="E786" s="4" t="str">
        <f t="shared" si="57"/>
        <v>女</v>
      </c>
    </row>
    <row r="787" customHeight="1" spans="1:5">
      <c r="A787" s="4">
        <v>785</v>
      </c>
      <c r="B787" s="4" t="str">
        <f>"431720220806195930232654"</f>
        <v>431720220806195930232654</v>
      </c>
      <c r="C787" s="5" t="s">
        <v>9</v>
      </c>
      <c r="D787" s="4" t="str">
        <f>"高能英"</f>
        <v>高能英</v>
      </c>
      <c r="E787" s="4" t="str">
        <f t="shared" si="57"/>
        <v>女</v>
      </c>
    </row>
    <row r="788" customHeight="1" spans="1:5">
      <c r="A788" s="4">
        <v>786</v>
      </c>
      <c r="B788" s="4" t="str">
        <f>"431720220806201647232681"</f>
        <v>431720220806201647232681</v>
      </c>
      <c r="C788" s="5" t="s">
        <v>9</v>
      </c>
      <c r="D788" s="4" t="str">
        <f>"黄志灵"</f>
        <v>黄志灵</v>
      </c>
      <c r="E788" s="4" t="str">
        <f t="shared" si="57"/>
        <v>女</v>
      </c>
    </row>
    <row r="789" customHeight="1" spans="1:5">
      <c r="A789" s="4">
        <v>787</v>
      </c>
      <c r="B789" s="4" t="str">
        <f>"431720220806203354232702"</f>
        <v>431720220806203354232702</v>
      </c>
      <c r="C789" s="5" t="s">
        <v>9</v>
      </c>
      <c r="D789" s="4" t="str">
        <f>"黎昌柳"</f>
        <v>黎昌柳</v>
      </c>
      <c r="E789" s="4" t="str">
        <f t="shared" si="57"/>
        <v>女</v>
      </c>
    </row>
    <row r="790" customHeight="1" spans="1:5">
      <c r="A790" s="4">
        <v>788</v>
      </c>
      <c r="B790" s="4" t="str">
        <f>"431720220806204441232712"</f>
        <v>431720220806204441232712</v>
      </c>
      <c r="C790" s="5" t="s">
        <v>9</v>
      </c>
      <c r="D790" s="4" t="str">
        <f>"罗希特"</f>
        <v>罗希特</v>
      </c>
      <c r="E790" s="4" t="str">
        <f t="shared" si="57"/>
        <v>女</v>
      </c>
    </row>
    <row r="791" customHeight="1" spans="1:5">
      <c r="A791" s="4">
        <v>789</v>
      </c>
      <c r="B791" s="4" t="str">
        <f>"431720220806205508232721"</f>
        <v>431720220806205508232721</v>
      </c>
      <c r="C791" s="5" t="s">
        <v>9</v>
      </c>
      <c r="D791" s="4" t="str">
        <f>"周活"</f>
        <v>周活</v>
      </c>
      <c r="E791" s="4" t="str">
        <f t="shared" si="57"/>
        <v>女</v>
      </c>
    </row>
    <row r="792" customHeight="1" spans="1:5">
      <c r="A792" s="4">
        <v>790</v>
      </c>
      <c r="B792" s="4" t="str">
        <f>"431720220806210637232730"</f>
        <v>431720220806210637232730</v>
      </c>
      <c r="C792" s="5" t="s">
        <v>9</v>
      </c>
      <c r="D792" s="4" t="str">
        <f>"陈明"</f>
        <v>陈明</v>
      </c>
      <c r="E792" s="4" t="str">
        <f t="shared" si="57"/>
        <v>女</v>
      </c>
    </row>
    <row r="793" customHeight="1" spans="1:5">
      <c r="A793" s="4">
        <v>791</v>
      </c>
      <c r="B793" s="4" t="str">
        <f>"431720220806222538232808"</f>
        <v>431720220806222538232808</v>
      </c>
      <c r="C793" s="5" t="s">
        <v>9</v>
      </c>
      <c r="D793" s="4" t="str">
        <f>"吴梅妹"</f>
        <v>吴梅妹</v>
      </c>
      <c r="E793" s="4" t="str">
        <f t="shared" si="57"/>
        <v>女</v>
      </c>
    </row>
    <row r="794" customHeight="1" spans="1:5">
      <c r="A794" s="4">
        <v>792</v>
      </c>
      <c r="B794" s="4" t="str">
        <f>"431720220806224915232827"</f>
        <v>431720220806224915232827</v>
      </c>
      <c r="C794" s="5" t="s">
        <v>9</v>
      </c>
      <c r="D794" s="4" t="str">
        <f>"林仙"</f>
        <v>林仙</v>
      </c>
      <c r="E794" s="4" t="str">
        <f t="shared" si="57"/>
        <v>女</v>
      </c>
    </row>
    <row r="795" customHeight="1" spans="1:5">
      <c r="A795" s="4">
        <v>793</v>
      </c>
      <c r="B795" s="4" t="str">
        <f>"431720220806232801232852"</f>
        <v>431720220806232801232852</v>
      </c>
      <c r="C795" s="5" t="s">
        <v>9</v>
      </c>
      <c r="D795" s="4" t="str">
        <f>"蔡小琼"</f>
        <v>蔡小琼</v>
      </c>
      <c r="E795" s="4" t="str">
        <f t="shared" si="57"/>
        <v>女</v>
      </c>
    </row>
    <row r="796" customHeight="1" spans="1:5">
      <c r="A796" s="4">
        <v>794</v>
      </c>
      <c r="B796" s="4" t="str">
        <f>"431720220807004136232887"</f>
        <v>431720220807004136232887</v>
      </c>
      <c r="C796" s="5" t="s">
        <v>9</v>
      </c>
      <c r="D796" s="4" t="str">
        <f>"李祥燕"</f>
        <v>李祥燕</v>
      </c>
      <c r="E796" s="4" t="str">
        <f t="shared" si="57"/>
        <v>女</v>
      </c>
    </row>
    <row r="797" customHeight="1" spans="1:5">
      <c r="A797" s="4">
        <v>795</v>
      </c>
      <c r="B797" s="4" t="str">
        <f>"431720220807090124232952"</f>
        <v>431720220807090124232952</v>
      </c>
      <c r="C797" s="5" t="s">
        <v>9</v>
      </c>
      <c r="D797" s="4" t="str">
        <f>"董考"</f>
        <v>董考</v>
      </c>
      <c r="E797" s="4" t="str">
        <f t="shared" si="57"/>
        <v>女</v>
      </c>
    </row>
    <row r="798" customHeight="1" spans="1:5">
      <c r="A798" s="4">
        <v>796</v>
      </c>
      <c r="B798" s="4" t="str">
        <f>"431720220807093419232969"</f>
        <v>431720220807093419232969</v>
      </c>
      <c r="C798" s="5" t="s">
        <v>9</v>
      </c>
      <c r="D798" s="4" t="str">
        <f>"吴锋"</f>
        <v>吴锋</v>
      </c>
      <c r="E798" s="4" t="str">
        <f>"男"</f>
        <v>男</v>
      </c>
    </row>
    <row r="799" customHeight="1" spans="1:5">
      <c r="A799" s="4">
        <v>797</v>
      </c>
      <c r="B799" s="4" t="str">
        <f>"431720220807093631232973"</f>
        <v>431720220807093631232973</v>
      </c>
      <c r="C799" s="5" t="s">
        <v>9</v>
      </c>
      <c r="D799" s="4" t="str">
        <f>"周初蕊"</f>
        <v>周初蕊</v>
      </c>
      <c r="E799" s="4" t="str">
        <f t="shared" ref="E799:E808" si="58">"女"</f>
        <v>女</v>
      </c>
    </row>
    <row r="800" customHeight="1" spans="1:5">
      <c r="A800" s="4">
        <v>798</v>
      </c>
      <c r="B800" s="4" t="str">
        <f>"431720220807094406232981"</f>
        <v>431720220807094406232981</v>
      </c>
      <c r="C800" s="5" t="s">
        <v>9</v>
      </c>
      <c r="D800" s="4" t="str">
        <f>"周义深"</f>
        <v>周义深</v>
      </c>
      <c r="E800" s="4" t="str">
        <f>"男"</f>
        <v>男</v>
      </c>
    </row>
    <row r="801" customHeight="1" spans="1:5">
      <c r="A801" s="4">
        <v>799</v>
      </c>
      <c r="B801" s="4" t="str">
        <f>"431720220807094536232983"</f>
        <v>431720220807094536232983</v>
      </c>
      <c r="C801" s="5" t="s">
        <v>9</v>
      </c>
      <c r="D801" s="4" t="str">
        <f>"羊彩嬉"</f>
        <v>羊彩嬉</v>
      </c>
      <c r="E801" s="4" t="str">
        <f t="shared" si="58"/>
        <v>女</v>
      </c>
    </row>
    <row r="802" customHeight="1" spans="1:5">
      <c r="A802" s="4">
        <v>800</v>
      </c>
      <c r="B802" s="4" t="str">
        <f>"431720220807100049233001"</f>
        <v>431720220807100049233001</v>
      </c>
      <c r="C802" s="5" t="s">
        <v>9</v>
      </c>
      <c r="D802" s="4" t="str">
        <f>"叶玉会"</f>
        <v>叶玉会</v>
      </c>
      <c r="E802" s="4" t="str">
        <f t="shared" si="58"/>
        <v>女</v>
      </c>
    </row>
    <row r="803" customHeight="1" spans="1:5">
      <c r="A803" s="4">
        <v>801</v>
      </c>
      <c r="B803" s="4" t="str">
        <f>"431720220807101846233023"</f>
        <v>431720220807101846233023</v>
      </c>
      <c r="C803" s="5" t="s">
        <v>9</v>
      </c>
      <c r="D803" s="4" t="str">
        <f>"张小婷"</f>
        <v>张小婷</v>
      </c>
      <c r="E803" s="4" t="str">
        <f t="shared" si="58"/>
        <v>女</v>
      </c>
    </row>
    <row r="804" customHeight="1" spans="1:5">
      <c r="A804" s="4">
        <v>802</v>
      </c>
      <c r="B804" s="4" t="str">
        <f>"431720220807104140233049"</f>
        <v>431720220807104140233049</v>
      </c>
      <c r="C804" s="5" t="s">
        <v>9</v>
      </c>
      <c r="D804" s="4" t="str">
        <f>"李水花"</f>
        <v>李水花</v>
      </c>
      <c r="E804" s="4" t="str">
        <f t="shared" si="58"/>
        <v>女</v>
      </c>
    </row>
    <row r="805" customHeight="1" spans="1:5">
      <c r="A805" s="4">
        <v>803</v>
      </c>
      <c r="B805" s="4" t="str">
        <f>"431720220807104143233050"</f>
        <v>431720220807104143233050</v>
      </c>
      <c r="C805" s="5" t="s">
        <v>9</v>
      </c>
      <c r="D805" s="4" t="str">
        <f>"杨秀联"</f>
        <v>杨秀联</v>
      </c>
      <c r="E805" s="4" t="str">
        <f t="shared" si="58"/>
        <v>女</v>
      </c>
    </row>
    <row r="806" customHeight="1" spans="1:5">
      <c r="A806" s="4">
        <v>804</v>
      </c>
      <c r="B806" s="4" t="str">
        <f>"431720220807104633233056"</f>
        <v>431720220807104633233056</v>
      </c>
      <c r="C806" s="5" t="s">
        <v>9</v>
      </c>
      <c r="D806" s="4" t="str">
        <f>"唐二花"</f>
        <v>唐二花</v>
      </c>
      <c r="E806" s="4" t="str">
        <f t="shared" si="58"/>
        <v>女</v>
      </c>
    </row>
    <row r="807" customHeight="1" spans="1:5">
      <c r="A807" s="4">
        <v>805</v>
      </c>
      <c r="B807" s="4" t="str">
        <f>"431720220807114413233106"</f>
        <v>431720220807114413233106</v>
      </c>
      <c r="C807" s="5" t="s">
        <v>9</v>
      </c>
      <c r="D807" s="4" t="str">
        <f>"邱丽翔"</f>
        <v>邱丽翔</v>
      </c>
      <c r="E807" s="4" t="str">
        <f t="shared" si="58"/>
        <v>女</v>
      </c>
    </row>
    <row r="808" customHeight="1" spans="1:5">
      <c r="A808" s="4">
        <v>806</v>
      </c>
      <c r="B808" s="4" t="str">
        <f>"431720220807115051233115"</f>
        <v>431720220807115051233115</v>
      </c>
      <c r="C808" s="5" t="s">
        <v>9</v>
      </c>
      <c r="D808" s="4" t="str">
        <f>"莫镕蔚"</f>
        <v>莫镕蔚</v>
      </c>
      <c r="E808" s="4" t="str">
        <f t="shared" si="58"/>
        <v>女</v>
      </c>
    </row>
    <row r="809" customHeight="1" spans="1:5">
      <c r="A809" s="4">
        <v>807</v>
      </c>
      <c r="B809" s="4" t="str">
        <f>"431720220807120431233133"</f>
        <v>431720220807120431233133</v>
      </c>
      <c r="C809" s="5" t="s">
        <v>9</v>
      </c>
      <c r="D809" s="4" t="str">
        <f>"李学艺"</f>
        <v>李学艺</v>
      </c>
      <c r="E809" s="4" t="str">
        <f>"男"</f>
        <v>男</v>
      </c>
    </row>
    <row r="810" customHeight="1" spans="1:5">
      <c r="A810" s="4">
        <v>808</v>
      </c>
      <c r="B810" s="4" t="str">
        <f>"431720220807142450233258"</f>
        <v>431720220807142450233258</v>
      </c>
      <c r="C810" s="5" t="s">
        <v>9</v>
      </c>
      <c r="D810" s="4" t="str">
        <f>"苏德兰"</f>
        <v>苏德兰</v>
      </c>
      <c r="E810" s="4" t="str">
        <f t="shared" ref="E810:E818" si="59">"女"</f>
        <v>女</v>
      </c>
    </row>
    <row r="811" customHeight="1" spans="1:5">
      <c r="A811" s="4">
        <v>809</v>
      </c>
      <c r="B811" s="4" t="str">
        <f>"431720220807145341233279"</f>
        <v>431720220807145341233279</v>
      </c>
      <c r="C811" s="5" t="s">
        <v>9</v>
      </c>
      <c r="D811" s="4" t="str">
        <f>"陈淑娩"</f>
        <v>陈淑娩</v>
      </c>
      <c r="E811" s="4" t="str">
        <f t="shared" si="59"/>
        <v>女</v>
      </c>
    </row>
    <row r="812" customHeight="1" spans="1:5">
      <c r="A812" s="4">
        <v>810</v>
      </c>
      <c r="B812" s="4" t="str">
        <f>"431720220807150934233291"</f>
        <v>431720220807150934233291</v>
      </c>
      <c r="C812" s="5" t="s">
        <v>9</v>
      </c>
      <c r="D812" s="4" t="str">
        <f>"裴日巧"</f>
        <v>裴日巧</v>
      </c>
      <c r="E812" s="4" t="str">
        <f t="shared" si="59"/>
        <v>女</v>
      </c>
    </row>
    <row r="813" customHeight="1" spans="1:5">
      <c r="A813" s="4">
        <v>811</v>
      </c>
      <c r="B813" s="4" t="str">
        <f>"431720220807163203233398"</f>
        <v>431720220807163203233398</v>
      </c>
      <c r="C813" s="5" t="s">
        <v>9</v>
      </c>
      <c r="D813" s="4" t="str">
        <f>"陈冬迪"</f>
        <v>陈冬迪</v>
      </c>
      <c r="E813" s="4" t="str">
        <f t="shared" si="59"/>
        <v>女</v>
      </c>
    </row>
    <row r="814" customHeight="1" spans="1:5">
      <c r="A814" s="4">
        <v>812</v>
      </c>
      <c r="B814" s="4" t="str">
        <f>"431720220807165501233425"</f>
        <v>431720220807165501233425</v>
      </c>
      <c r="C814" s="5" t="s">
        <v>9</v>
      </c>
      <c r="D814" s="4" t="str">
        <f>"邢其秋"</f>
        <v>邢其秋</v>
      </c>
      <c r="E814" s="4" t="str">
        <f t="shared" si="59"/>
        <v>女</v>
      </c>
    </row>
    <row r="815" customHeight="1" spans="1:5">
      <c r="A815" s="4">
        <v>813</v>
      </c>
      <c r="B815" s="4" t="str">
        <f>"431720220807182708233497"</f>
        <v>431720220807182708233497</v>
      </c>
      <c r="C815" s="5" t="s">
        <v>9</v>
      </c>
      <c r="D815" s="4" t="str">
        <f>"唐小花"</f>
        <v>唐小花</v>
      </c>
      <c r="E815" s="4" t="str">
        <f t="shared" si="59"/>
        <v>女</v>
      </c>
    </row>
    <row r="816" customHeight="1" spans="1:5">
      <c r="A816" s="4">
        <v>814</v>
      </c>
      <c r="B816" s="4" t="str">
        <f>"431720220807184924233507"</f>
        <v>431720220807184924233507</v>
      </c>
      <c r="C816" s="5" t="s">
        <v>9</v>
      </c>
      <c r="D816" s="4" t="str">
        <f>"余业珍"</f>
        <v>余业珍</v>
      </c>
      <c r="E816" s="4" t="str">
        <f t="shared" si="59"/>
        <v>女</v>
      </c>
    </row>
    <row r="817" customHeight="1" spans="1:5">
      <c r="A817" s="4">
        <v>815</v>
      </c>
      <c r="B817" s="4" t="str">
        <f>"431720220807185617233510"</f>
        <v>431720220807185617233510</v>
      </c>
      <c r="C817" s="5" t="s">
        <v>9</v>
      </c>
      <c r="D817" s="4" t="str">
        <f>"廖梦琦"</f>
        <v>廖梦琦</v>
      </c>
      <c r="E817" s="4" t="str">
        <f t="shared" si="59"/>
        <v>女</v>
      </c>
    </row>
    <row r="818" customHeight="1" spans="1:5">
      <c r="A818" s="4">
        <v>816</v>
      </c>
      <c r="B818" s="4" t="str">
        <f>"431720220807193646233527"</f>
        <v>431720220807193646233527</v>
      </c>
      <c r="C818" s="5" t="s">
        <v>9</v>
      </c>
      <c r="D818" s="4" t="str">
        <f>"陈娇"</f>
        <v>陈娇</v>
      </c>
      <c r="E818" s="4" t="str">
        <f t="shared" si="59"/>
        <v>女</v>
      </c>
    </row>
    <row r="819" customHeight="1" spans="1:5">
      <c r="A819" s="4">
        <v>817</v>
      </c>
      <c r="B819" s="4" t="str">
        <f>"431720220807194356233531"</f>
        <v>431720220807194356233531</v>
      </c>
      <c r="C819" s="5" t="s">
        <v>9</v>
      </c>
      <c r="D819" s="4" t="str">
        <f>"冯吉"</f>
        <v>冯吉</v>
      </c>
      <c r="E819" s="4" t="str">
        <f>"男"</f>
        <v>男</v>
      </c>
    </row>
    <row r="820" customHeight="1" spans="1:5">
      <c r="A820" s="4">
        <v>818</v>
      </c>
      <c r="B820" s="4" t="str">
        <f>"431720220807210629233584"</f>
        <v>431720220807210629233584</v>
      </c>
      <c r="C820" s="5" t="s">
        <v>9</v>
      </c>
      <c r="D820" s="4" t="str">
        <f>"关海萍"</f>
        <v>关海萍</v>
      </c>
      <c r="E820" s="4" t="str">
        <f t="shared" ref="E820:E823" si="60">"女"</f>
        <v>女</v>
      </c>
    </row>
    <row r="821" customHeight="1" spans="1:5">
      <c r="A821" s="4">
        <v>819</v>
      </c>
      <c r="B821" s="4" t="str">
        <f>"431720220807222019233627"</f>
        <v>431720220807222019233627</v>
      </c>
      <c r="C821" s="5" t="s">
        <v>9</v>
      </c>
      <c r="D821" s="4" t="str">
        <f>"冯嫣"</f>
        <v>冯嫣</v>
      </c>
      <c r="E821" s="4" t="str">
        <f t="shared" si="60"/>
        <v>女</v>
      </c>
    </row>
    <row r="822" customHeight="1" spans="1:5">
      <c r="A822" s="4">
        <v>820</v>
      </c>
      <c r="B822" s="4" t="str">
        <f>"431720220807224421233647"</f>
        <v>431720220807224421233647</v>
      </c>
      <c r="C822" s="5" t="s">
        <v>9</v>
      </c>
      <c r="D822" s="4" t="str">
        <f>"毛斐"</f>
        <v>毛斐</v>
      </c>
      <c r="E822" s="4" t="str">
        <f t="shared" si="60"/>
        <v>女</v>
      </c>
    </row>
    <row r="823" customHeight="1" spans="1:5">
      <c r="A823" s="4">
        <v>821</v>
      </c>
      <c r="B823" s="4" t="str">
        <f>"431720220807230234233654"</f>
        <v>431720220807230234233654</v>
      </c>
      <c r="C823" s="5" t="s">
        <v>9</v>
      </c>
      <c r="D823" s="4" t="str">
        <f>"张燕"</f>
        <v>张燕</v>
      </c>
      <c r="E823" s="4" t="str">
        <f t="shared" si="60"/>
        <v>女</v>
      </c>
    </row>
    <row r="824" customHeight="1" spans="1:5">
      <c r="A824" s="4">
        <v>822</v>
      </c>
      <c r="B824" s="4" t="str">
        <f>"431720220808085221233914"</f>
        <v>431720220808085221233914</v>
      </c>
      <c r="C824" s="5" t="s">
        <v>9</v>
      </c>
      <c r="D824" s="4" t="str">
        <f>"郑鹏"</f>
        <v>郑鹏</v>
      </c>
      <c r="E824" s="4" t="str">
        <f>"男"</f>
        <v>男</v>
      </c>
    </row>
    <row r="825" customHeight="1" spans="1:5">
      <c r="A825" s="4">
        <v>823</v>
      </c>
      <c r="B825" s="4" t="str">
        <f>"431720220808092209234155"</f>
        <v>431720220808092209234155</v>
      </c>
      <c r="C825" s="5" t="s">
        <v>9</v>
      </c>
      <c r="D825" s="4" t="str">
        <f>"王丽博"</f>
        <v>王丽博</v>
      </c>
      <c r="E825" s="4" t="str">
        <f t="shared" ref="E825:E828" si="61">"女"</f>
        <v>女</v>
      </c>
    </row>
    <row r="826" customHeight="1" spans="1:5">
      <c r="A826" s="4">
        <v>824</v>
      </c>
      <c r="B826" s="4" t="str">
        <f>"431720220808102925234621"</f>
        <v>431720220808102925234621</v>
      </c>
      <c r="C826" s="5" t="s">
        <v>9</v>
      </c>
      <c r="D826" s="4" t="str">
        <f>"谢伟罗"</f>
        <v>谢伟罗</v>
      </c>
      <c r="E826" s="4" t="str">
        <f t="shared" si="61"/>
        <v>女</v>
      </c>
    </row>
    <row r="827" customHeight="1" spans="1:5">
      <c r="A827" s="4">
        <v>825</v>
      </c>
      <c r="B827" s="4" t="str">
        <f>"431720220808103643234667"</f>
        <v>431720220808103643234667</v>
      </c>
      <c r="C827" s="5" t="s">
        <v>9</v>
      </c>
      <c r="D827" s="4" t="str">
        <f>"许海花"</f>
        <v>许海花</v>
      </c>
      <c r="E827" s="4" t="str">
        <f t="shared" si="61"/>
        <v>女</v>
      </c>
    </row>
    <row r="828" customHeight="1" spans="1:5">
      <c r="A828" s="4">
        <v>826</v>
      </c>
      <c r="B828" s="4" t="str">
        <f>"431720220808111809234891"</f>
        <v>431720220808111809234891</v>
      </c>
      <c r="C828" s="5" t="s">
        <v>9</v>
      </c>
      <c r="D828" s="4" t="str">
        <f>"吴秋"</f>
        <v>吴秋</v>
      </c>
      <c r="E828" s="4" t="str">
        <f t="shared" si="61"/>
        <v>女</v>
      </c>
    </row>
    <row r="829" customHeight="1" spans="1:5">
      <c r="A829" s="4">
        <v>827</v>
      </c>
      <c r="B829" s="4" t="str">
        <f>"431720220808113412234959"</f>
        <v>431720220808113412234959</v>
      </c>
      <c r="C829" s="5" t="s">
        <v>9</v>
      </c>
      <c r="D829" s="4" t="str">
        <f>"吴坤胄"</f>
        <v>吴坤胄</v>
      </c>
      <c r="E829" s="4" t="str">
        <f>"男"</f>
        <v>男</v>
      </c>
    </row>
    <row r="830" customHeight="1" spans="1:5">
      <c r="A830" s="4">
        <v>828</v>
      </c>
      <c r="B830" s="4" t="str">
        <f>"431720220808120104235067"</f>
        <v>431720220808120104235067</v>
      </c>
      <c r="C830" s="5" t="s">
        <v>9</v>
      </c>
      <c r="D830" s="4" t="str">
        <f>"黄民姣"</f>
        <v>黄民姣</v>
      </c>
      <c r="E830" s="4" t="str">
        <f t="shared" ref="E830:E844" si="62">"女"</f>
        <v>女</v>
      </c>
    </row>
    <row r="831" customHeight="1" spans="1:5">
      <c r="A831" s="4">
        <v>829</v>
      </c>
      <c r="B831" s="4" t="str">
        <f>"431720220808124510235219"</f>
        <v>431720220808124510235219</v>
      </c>
      <c r="C831" s="5" t="s">
        <v>9</v>
      </c>
      <c r="D831" s="4" t="str">
        <f>"黎小雯"</f>
        <v>黎小雯</v>
      </c>
      <c r="E831" s="4" t="str">
        <f t="shared" si="62"/>
        <v>女</v>
      </c>
    </row>
    <row r="832" customHeight="1" spans="1:5">
      <c r="A832" s="4">
        <v>830</v>
      </c>
      <c r="B832" s="4" t="str">
        <f>"431720220808135801235427"</f>
        <v>431720220808135801235427</v>
      </c>
      <c r="C832" s="5" t="s">
        <v>9</v>
      </c>
      <c r="D832" s="4" t="str">
        <f>"黄雪琴"</f>
        <v>黄雪琴</v>
      </c>
      <c r="E832" s="4" t="str">
        <f t="shared" si="62"/>
        <v>女</v>
      </c>
    </row>
    <row r="833" customHeight="1" spans="1:5">
      <c r="A833" s="4">
        <v>831</v>
      </c>
      <c r="B833" s="4" t="str">
        <f>"431720220808144406235546"</f>
        <v>431720220808144406235546</v>
      </c>
      <c r="C833" s="5" t="s">
        <v>9</v>
      </c>
      <c r="D833" s="4" t="str">
        <f>"王玉花"</f>
        <v>王玉花</v>
      </c>
      <c r="E833" s="4" t="str">
        <f t="shared" si="62"/>
        <v>女</v>
      </c>
    </row>
    <row r="834" customHeight="1" spans="1:5">
      <c r="A834" s="4">
        <v>832</v>
      </c>
      <c r="B834" s="4" t="str">
        <f>"431720220808152221235667"</f>
        <v>431720220808152221235667</v>
      </c>
      <c r="C834" s="5" t="s">
        <v>9</v>
      </c>
      <c r="D834" s="4" t="str">
        <f>"杨中妹"</f>
        <v>杨中妹</v>
      </c>
      <c r="E834" s="4" t="str">
        <f t="shared" si="62"/>
        <v>女</v>
      </c>
    </row>
    <row r="835" customHeight="1" spans="1:5">
      <c r="A835" s="4">
        <v>833</v>
      </c>
      <c r="B835" s="4" t="str">
        <f>"431720220808153852235733"</f>
        <v>431720220808153852235733</v>
      </c>
      <c r="C835" s="5" t="s">
        <v>9</v>
      </c>
      <c r="D835" s="4" t="str">
        <f>"吴带秀"</f>
        <v>吴带秀</v>
      </c>
      <c r="E835" s="4" t="str">
        <f t="shared" si="62"/>
        <v>女</v>
      </c>
    </row>
    <row r="836" customHeight="1" spans="1:5">
      <c r="A836" s="4">
        <v>834</v>
      </c>
      <c r="B836" s="4" t="str">
        <f>"431720220808165936235999"</f>
        <v>431720220808165936235999</v>
      </c>
      <c r="C836" s="5" t="s">
        <v>9</v>
      </c>
      <c r="D836" s="4" t="str">
        <f>"羊淑妍"</f>
        <v>羊淑妍</v>
      </c>
      <c r="E836" s="4" t="str">
        <f t="shared" si="62"/>
        <v>女</v>
      </c>
    </row>
    <row r="837" customHeight="1" spans="1:5">
      <c r="A837" s="4">
        <v>835</v>
      </c>
      <c r="B837" s="4" t="str">
        <f>"431720220808174643236147"</f>
        <v>431720220808174643236147</v>
      </c>
      <c r="C837" s="5" t="s">
        <v>9</v>
      </c>
      <c r="D837" s="4" t="str">
        <f>"陈万顽"</f>
        <v>陈万顽</v>
      </c>
      <c r="E837" s="4" t="str">
        <f t="shared" si="62"/>
        <v>女</v>
      </c>
    </row>
    <row r="838" customHeight="1" spans="1:5">
      <c r="A838" s="4">
        <v>836</v>
      </c>
      <c r="B838" s="4" t="str">
        <f>"431720220808175135236156"</f>
        <v>431720220808175135236156</v>
      </c>
      <c r="C838" s="5" t="s">
        <v>9</v>
      </c>
      <c r="D838" s="4" t="str">
        <f>"王翠莹"</f>
        <v>王翠莹</v>
      </c>
      <c r="E838" s="4" t="str">
        <f t="shared" si="62"/>
        <v>女</v>
      </c>
    </row>
    <row r="839" customHeight="1" spans="1:5">
      <c r="A839" s="4">
        <v>837</v>
      </c>
      <c r="B839" s="4" t="str">
        <f>"431720220808182313236229"</f>
        <v>431720220808182313236229</v>
      </c>
      <c r="C839" s="5" t="s">
        <v>9</v>
      </c>
      <c r="D839" s="4" t="str">
        <f>"梁春苗"</f>
        <v>梁春苗</v>
      </c>
      <c r="E839" s="4" t="str">
        <f t="shared" si="62"/>
        <v>女</v>
      </c>
    </row>
    <row r="840" customHeight="1" spans="1:5">
      <c r="A840" s="4">
        <v>838</v>
      </c>
      <c r="B840" s="4" t="str">
        <f>"431720220808183553236263"</f>
        <v>431720220808183553236263</v>
      </c>
      <c r="C840" s="5" t="s">
        <v>9</v>
      </c>
      <c r="D840" s="4" t="str">
        <f>"许文雅"</f>
        <v>许文雅</v>
      </c>
      <c r="E840" s="4" t="str">
        <f t="shared" si="62"/>
        <v>女</v>
      </c>
    </row>
    <row r="841" customHeight="1" spans="1:5">
      <c r="A841" s="4">
        <v>839</v>
      </c>
      <c r="B841" s="4" t="str">
        <f>"431720220808234913236931"</f>
        <v>431720220808234913236931</v>
      </c>
      <c r="C841" s="5" t="s">
        <v>9</v>
      </c>
      <c r="D841" s="4" t="str">
        <f>"李小丽"</f>
        <v>李小丽</v>
      </c>
      <c r="E841" s="4" t="str">
        <f t="shared" si="62"/>
        <v>女</v>
      </c>
    </row>
    <row r="842" customHeight="1" spans="1:5">
      <c r="A842" s="4">
        <v>840</v>
      </c>
      <c r="B842" s="4" t="str">
        <f>"431720220809092406237247"</f>
        <v>431720220809092406237247</v>
      </c>
      <c r="C842" s="5" t="s">
        <v>9</v>
      </c>
      <c r="D842" s="4" t="str">
        <f>"羊小佩"</f>
        <v>羊小佩</v>
      </c>
      <c r="E842" s="4" t="str">
        <f t="shared" si="62"/>
        <v>女</v>
      </c>
    </row>
    <row r="843" customHeight="1" spans="1:5">
      <c r="A843" s="4">
        <v>841</v>
      </c>
      <c r="B843" s="4" t="str">
        <f>"431720220809100345237374"</f>
        <v>431720220809100345237374</v>
      </c>
      <c r="C843" s="5" t="s">
        <v>9</v>
      </c>
      <c r="D843" s="4" t="str">
        <f>"邓云花"</f>
        <v>邓云花</v>
      </c>
      <c r="E843" s="4" t="str">
        <f t="shared" si="62"/>
        <v>女</v>
      </c>
    </row>
    <row r="844" customHeight="1" spans="1:5">
      <c r="A844" s="4">
        <v>842</v>
      </c>
      <c r="B844" s="4" t="str">
        <f>"431720220809101630237413"</f>
        <v>431720220809101630237413</v>
      </c>
      <c r="C844" s="5" t="s">
        <v>9</v>
      </c>
      <c r="D844" s="4" t="str">
        <f>"叶秋余"</f>
        <v>叶秋余</v>
      </c>
      <c r="E844" s="4" t="str">
        <f t="shared" si="62"/>
        <v>女</v>
      </c>
    </row>
    <row r="845" customHeight="1" spans="1:5">
      <c r="A845" s="4">
        <v>843</v>
      </c>
      <c r="B845" s="4" t="str">
        <f>"431720220809102516237450"</f>
        <v>431720220809102516237450</v>
      </c>
      <c r="C845" s="5" t="s">
        <v>9</v>
      </c>
      <c r="D845" s="4" t="str">
        <f>"王优"</f>
        <v>王优</v>
      </c>
      <c r="E845" s="4" t="str">
        <f>"男"</f>
        <v>男</v>
      </c>
    </row>
    <row r="846" customHeight="1" spans="1:5">
      <c r="A846" s="4">
        <v>844</v>
      </c>
      <c r="B846" s="4" t="str">
        <f>"431720220809121603237749"</f>
        <v>431720220809121603237749</v>
      </c>
      <c r="C846" s="5" t="s">
        <v>9</v>
      </c>
      <c r="D846" s="4" t="str">
        <f>"刘晓慧"</f>
        <v>刘晓慧</v>
      </c>
      <c r="E846" s="4" t="str">
        <f t="shared" ref="E846:E854" si="63">"女"</f>
        <v>女</v>
      </c>
    </row>
    <row r="847" customHeight="1" spans="1:5">
      <c r="A847" s="4">
        <v>845</v>
      </c>
      <c r="B847" s="4" t="str">
        <f>"431720220809151710238150"</f>
        <v>431720220809151710238150</v>
      </c>
      <c r="C847" s="5" t="s">
        <v>9</v>
      </c>
      <c r="D847" s="4" t="str">
        <f>"麦代乾"</f>
        <v>麦代乾</v>
      </c>
      <c r="E847" s="4" t="str">
        <f t="shared" si="63"/>
        <v>女</v>
      </c>
    </row>
    <row r="848" customHeight="1" spans="1:5">
      <c r="A848" s="4">
        <v>846</v>
      </c>
      <c r="B848" s="4" t="str">
        <f>"431720220809154350238217"</f>
        <v>431720220809154350238217</v>
      </c>
      <c r="C848" s="5" t="s">
        <v>9</v>
      </c>
      <c r="D848" s="4" t="str">
        <f>"汪瑶"</f>
        <v>汪瑶</v>
      </c>
      <c r="E848" s="4" t="str">
        <f t="shared" si="63"/>
        <v>女</v>
      </c>
    </row>
    <row r="849" customHeight="1" spans="1:5">
      <c r="A849" s="4">
        <v>847</v>
      </c>
      <c r="B849" s="4" t="str">
        <f>"431720220809161955238319"</f>
        <v>431720220809161955238319</v>
      </c>
      <c r="C849" s="5" t="s">
        <v>9</v>
      </c>
      <c r="D849" s="4" t="str">
        <f>"麦名蕴"</f>
        <v>麦名蕴</v>
      </c>
      <c r="E849" s="4" t="str">
        <f t="shared" si="63"/>
        <v>女</v>
      </c>
    </row>
    <row r="850" customHeight="1" spans="1:5">
      <c r="A850" s="4">
        <v>848</v>
      </c>
      <c r="B850" s="4" t="str">
        <f>"431720220809172630238465"</f>
        <v>431720220809172630238465</v>
      </c>
      <c r="C850" s="5" t="s">
        <v>9</v>
      </c>
      <c r="D850" s="4" t="str">
        <f>"吴小兰"</f>
        <v>吴小兰</v>
      </c>
      <c r="E850" s="4" t="str">
        <f t="shared" si="63"/>
        <v>女</v>
      </c>
    </row>
    <row r="851" customHeight="1" spans="1:5">
      <c r="A851" s="4">
        <v>849</v>
      </c>
      <c r="B851" s="4" t="str">
        <f>"431720220809175037238503"</f>
        <v>431720220809175037238503</v>
      </c>
      <c r="C851" s="5" t="s">
        <v>9</v>
      </c>
      <c r="D851" s="4" t="str">
        <f>"李玲"</f>
        <v>李玲</v>
      </c>
      <c r="E851" s="4" t="str">
        <f t="shared" si="63"/>
        <v>女</v>
      </c>
    </row>
    <row r="852" customHeight="1" spans="1:5">
      <c r="A852" s="4">
        <v>850</v>
      </c>
      <c r="B852" s="4" t="str">
        <f>"431720220809195640238714"</f>
        <v>431720220809195640238714</v>
      </c>
      <c r="C852" s="5" t="s">
        <v>9</v>
      </c>
      <c r="D852" s="4" t="str">
        <f>"赵兴坤"</f>
        <v>赵兴坤</v>
      </c>
      <c r="E852" s="4" t="str">
        <f t="shared" si="63"/>
        <v>女</v>
      </c>
    </row>
    <row r="853" customHeight="1" spans="1:5">
      <c r="A853" s="4">
        <v>851</v>
      </c>
      <c r="B853" s="4" t="str">
        <f>"431720220809201238238741"</f>
        <v>431720220809201238238741</v>
      </c>
      <c r="C853" s="5" t="s">
        <v>9</v>
      </c>
      <c r="D853" s="4" t="str">
        <f>"曾怀慧"</f>
        <v>曾怀慧</v>
      </c>
      <c r="E853" s="4" t="str">
        <f t="shared" si="63"/>
        <v>女</v>
      </c>
    </row>
    <row r="854" customHeight="1" spans="1:5">
      <c r="A854" s="4">
        <v>852</v>
      </c>
      <c r="B854" s="4" t="str">
        <f>"431720220809212630238900"</f>
        <v>431720220809212630238900</v>
      </c>
      <c r="C854" s="5" t="s">
        <v>9</v>
      </c>
      <c r="D854" s="4" t="str">
        <f>"何发川"</f>
        <v>何发川</v>
      </c>
      <c r="E854" s="4" t="str">
        <f t="shared" si="63"/>
        <v>女</v>
      </c>
    </row>
    <row r="855" customHeight="1" spans="1:5">
      <c r="A855" s="4">
        <v>853</v>
      </c>
      <c r="B855" s="4" t="str">
        <f>"431720220809213251238922"</f>
        <v>431720220809213251238922</v>
      </c>
      <c r="C855" s="5" t="s">
        <v>9</v>
      </c>
      <c r="D855" s="4" t="str">
        <f>"高德发"</f>
        <v>高德发</v>
      </c>
      <c r="E855" s="4" t="str">
        <f>"男"</f>
        <v>男</v>
      </c>
    </row>
    <row r="856" customHeight="1" spans="1:5">
      <c r="A856" s="4">
        <v>854</v>
      </c>
      <c r="B856" s="4" t="str">
        <f>"431720220809215343238965"</f>
        <v>431720220809215343238965</v>
      </c>
      <c r="C856" s="5" t="s">
        <v>9</v>
      </c>
      <c r="D856" s="4" t="str">
        <f>"吴绣"</f>
        <v>吴绣</v>
      </c>
      <c r="E856" s="4" t="str">
        <f t="shared" ref="E856:E867" si="64">"女"</f>
        <v>女</v>
      </c>
    </row>
    <row r="857" customHeight="1" spans="1:5">
      <c r="A857" s="4">
        <v>855</v>
      </c>
      <c r="B857" s="4" t="str">
        <f>"431720220809224656239083"</f>
        <v>431720220809224656239083</v>
      </c>
      <c r="C857" s="5" t="s">
        <v>9</v>
      </c>
      <c r="D857" s="4" t="str">
        <f>"麦娜"</f>
        <v>麦娜</v>
      </c>
      <c r="E857" s="4" t="str">
        <f t="shared" si="64"/>
        <v>女</v>
      </c>
    </row>
    <row r="858" customHeight="1" spans="1:5">
      <c r="A858" s="4">
        <v>856</v>
      </c>
      <c r="B858" s="4" t="str">
        <f>"431720220809225552239097"</f>
        <v>431720220809225552239097</v>
      </c>
      <c r="C858" s="5" t="s">
        <v>9</v>
      </c>
      <c r="D858" s="4" t="str">
        <f>"林笑芳"</f>
        <v>林笑芳</v>
      </c>
      <c r="E858" s="4" t="str">
        <f t="shared" si="64"/>
        <v>女</v>
      </c>
    </row>
    <row r="859" customHeight="1" spans="1:5">
      <c r="A859" s="4">
        <v>857</v>
      </c>
      <c r="B859" s="4" t="str">
        <f>"431720220809230801239114"</f>
        <v>431720220809230801239114</v>
      </c>
      <c r="C859" s="5" t="s">
        <v>9</v>
      </c>
      <c r="D859" s="4" t="str">
        <f>"王晶晶"</f>
        <v>王晶晶</v>
      </c>
      <c r="E859" s="4" t="str">
        <f t="shared" si="64"/>
        <v>女</v>
      </c>
    </row>
    <row r="860" customHeight="1" spans="1:5">
      <c r="A860" s="4">
        <v>858</v>
      </c>
      <c r="B860" s="4" t="str">
        <f>"431720220809233805239151"</f>
        <v>431720220809233805239151</v>
      </c>
      <c r="C860" s="5" t="s">
        <v>9</v>
      </c>
      <c r="D860" s="4" t="str">
        <f>"朱美丽"</f>
        <v>朱美丽</v>
      </c>
      <c r="E860" s="4" t="str">
        <f t="shared" si="64"/>
        <v>女</v>
      </c>
    </row>
    <row r="861" customHeight="1" spans="1:5">
      <c r="A861" s="4">
        <v>859</v>
      </c>
      <c r="B861" s="4" t="str">
        <f>"431720220810002548239179"</f>
        <v>431720220810002548239179</v>
      </c>
      <c r="C861" s="5" t="s">
        <v>9</v>
      </c>
      <c r="D861" s="4" t="str">
        <f>"冯美"</f>
        <v>冯美</v>
      </c>
      <c r="E861" s="4" t="str">
        <f t="shared" si="64"/>
        <v>女</v>
      </c>
    </row>
    <row r="862" customHeight="1" spans="1:5">
      <c r="A862" s="4">
        <v>860</v>
      </c>
      <c r="B862" s="4" t="str">
        <f>"431720220810090532239408"</f>
        <v>431720220810090532239408</v>
      </c>
      <c r="C862" s="5" t="s">
        <v>9</v>
      </c>
      <c r="D862" s="4" t="str">
        <f>"戴秀芬"</f>
        <v>戴秀芬</v>
      </c>
      <c r="E862" s="4" t="str">
        <f t="shared" si="64"/>
        <v>女</v>
      </c>
    </row>
    <row r="863" customHeight="1" spans="1:5">
      <c r="A863" s="4">
        <v>861</v>
      </c>
      <c r="B863" s="4" t="str">
        <f>"431720220810094019239543"</f>
        <v>431720220810094019239543</v>
      </c>
      <c r="C863" s="5" t="s">
        <v>9</v>
      </c>
      <c r="D863" s="4" t="str">
        <f>"王琼扬"</f>
        <v>王琼扬</v>
      </c>
      <c r="E863" s="4" t="str">
        <f t="shared" si="64"/>
        <v>女</v>
      </c>
    </row>
    <row r="864" customHeight="1" spans="1:5">
      <c r="A864" s="4">
        <v>862</v>
      </c>
      <c r="B864" s="4" t="str">
        <f>"431720220810111423239884"</f>
        <v>431720220810111423239884</v>
      </c>
      <c r="C864" s="5" t="s">
        <v>9</v>
      </c>
      <c r="D864" s="4" t="str">
        <f>"陈芳燕"</f>
        <v>陈芳燕</v>
      </c>
      <c r="E864" s="4" t="str">
        <f t="shared" si="64"/>
        <v>女</v>
      </c>
    </row>
    <row r="865" customHeight="1" spans="1:5">
      <c r="A865" s="4">
        <v>863</v>
      </c>
      <c r="B865" s="4" t="str">
        <f>"431720220810125232240157"</f>
        <v>431720220810125232240157</v>
      </c>
      <c r="C865" s="5" t="s">
        <v>9</v>
      </c>
      <c r="D865" s="4" t="str">
        <f>"吴佶斋"</f>
        <v>吴佶斋</v>
      </c>
      <c r="E865" s="4" t="str">
        <f t="shared" si="64"/>
        <v>女</v>
      </c>
    </row>
    <row r="866" customHeight="1" spans="1:5">
      <c r="A866" s="4">
        <v>864</v>
      </c>
      <c r="B866" s="4" t="str">
        <f>"431720220810125328240160"</f>
        <v>431720220810125328240160</v>
      </c>
      <c r="C866" s="5" t="s">
        <v>9</v>
      </c>
      <c r="D866" s="4" t="str">
        <f>"梁星灿"</f>
        <v>梁星灿</v>
      </c>
      <c r="E866" s="4" t="str">
        <f t="shared" si="64"/>
        <v>女</v>
      </c>
    </row>
    <row r="867" customHeight="1" spans="1:5">
      <c r="A867" s="4">
        <v>865</v>
      </c>
      <c r="B867" s="4" t="str">
        <f>"431720220810131935240246"</f>
        <v>431720220810131935240246</v>
      </c>
      <c r="C867" s="5" t="s">
        <v>9</v>
      </c>
      <c r="D867" s="4" t="str">
        <f>"吴佳欣"</f>
        <v>吴佳欣</v>
      </c>
      <c r="E867" s="4" t="str">
        <f t="shared" si="64"/>
        <v>女</v>
      </c>
    </row>
    <row r="868" customHeight="1" spans="1:5">
      <c r="A868" s="4">
        <v>866</v>
      </c>
      <c r="B868" s="4" t="str">
        <f>"431720220810153118240557"</f>
        <v>431720220810153118240557</v>
      </c>
      <c r="C868" s="5" t="s">
        <v>9</v>
      </c>
      <c r="D868" s="4" t="str">
        <f>"朱才潘"</f>
        <v>朱才潘</v>
      </c>
      <c r="E868" s="4" t="str">
        <f>"男"</f>
        <v>男</v>
      </c>
    </row>
    <row r="869" customHeight="1" spans="1:5">
      <c r="A869" s="4">
        <v>867</v>
      </c>
      <c r="B869" s="4" t="str">
        <f>"431720220810160646240691"</f>
        <v>431720220810160646240691</v>
      </c>
      <c r="C869" s="5" t="s">
        <v>9</v>
      </c>
      <c r="D869" s="4" t="str">
        <f>"符芮帆"</f>
        <v>符芮帆</v>
      </c>
      <c r="E869" s="4" t="str">
        <f t="shared" ref="E869:E898" si="65">"女"</f>
        <v>女</v>
      </c>
    </row>
    <row r="870" customHeight="1" spans="1:5">
      <c r="A870" s="4">
        <v>868</v>
      </c>
      <c r="B870" s="4" t="str">
        <f>"431720220810161710240728"</f>
        <v>431720220810161710240728</v>
      </c>
      <c r="C870" s="5" t="s">
        <v>9</v>
      </c>
      <c r="D870" s="4" t="str">
        <f>"林永教"</f>
        <v>林永教</v>
      </c>
      <c r="E870" s="4" t="str">
        <f t="shared" si="65"/>
        <v>女</v>
      </c>
    </row>
    <row r="871" customHeight="1" spans="1:5">
      <c r="A871" s="4">
        <v>869</v>
      </c>
      <c r="B871" s="4" t="str">
        <f>"431720220810164131240810"</f>
        <v>431720220810164131240810</v>
      </c>
      <c r="C871" s="5" t="s">
        <v>9</v>
      </c>
      <c r="D871" s="4" t="str">
        <f>"张雅婷"</f>
        <v>张雅婷</v>
      </c>
      <c r="E871" s="4" t="str">
        <f t="shared" si="65"/>
        <v>女</v>
      </c>
    </row>
    <row r="872" customHeight="1" spans="1:5">
      <c r="A872" s="4">
        <v>870</v>
      </c>
      <c r="B872" s="4" t="str">
        <f>"431720220810170951240889"</f>
        <v>431720220810170951240889</v>
      </c>
      <c r="C872" s="5" t="s">
        <v>9</v>
      </c>
      <c r="D872" s="4" t="str">
        <f>"杨凯婷"</f>
        <v>杨凯婷</v>
      </c>
      <c r="E872" s="4" t="str">
        <f t="shared" si="65"/>
        <v>女</v>
      </c>
    </row>
    <row r="873" customHeight="1" spans="1:5">
      <c r="A873" s="4">
        <v>871</v>
      </c>
      <c r="B873" s="4" t="str">
        <f>"431720220810171714240905"</f>
        <v>431720220810171714240905</v>
      </c>
      <c r="C873" s="5" t="s">
        <v>9</v>
      </c>
      <c r="D873" s="4" t="str">
        <f>"谢福美"</f>
        <v>谢福美</v>
      </c>
      <c r="E873" s="4" t="str">
        <f t="shared" si="65"/>
        <v>女</v>
      </c>
    </row>
    <row r="874" customHeight="1" spans="1:5">
      <c r="A874" s="4">
        <v>872</v>
      </c>
      <c r="B874" s="4" t="str">
        <f>"431720220810173028240933"</f>
        <v>431720220810173028240933</v>
      </c>
      <c r="C874" s="5" t="s">
        <v>9</v>
      </c>
      <c r="D874" s="4" t="str">
        <f>"陈娇丽"</f>
        <v>陈娇丽</v>
      </c>
      <c r="E874" s="4" t="str">
        <f t="shared" si="65"/>
        <v>女</v>
      </c>
    </row>
    <row r="875" customHeight="1" spans="1:5">
      <c r="A875" s="4">
        <v>873</v>
      </c>
      <c r="B875" s="4" t="str">
        <f>"431720220810174153240960"</f>
        <v>431720220810174153240960</v>
      </c>
      <c r="C875" s="5" t="s">
        <v>9</v>
      </c>
      <c r="D875" s="4" t="str">
        <f>"赵肖云"</f>
        <v>赵肖云</v>
      </c>
      <c r="E875" s="4" t="str">
        <f t="shared" si="65"/>
        <v>女</v>
      </c>
    </row>
    <row r="876" customHeight="1" spans="1:5">
      <c r="A876" s="4">
        <v>874</v>
      </c>
      <c r="B876" s="4" t="str">
        <f>"431720220810180159241002"</f>
        <v>431720220810180159241002</v>
      </c>
      <c r="C876" s="5" t="s">
        <v>9</v>
      </c>
      <c r="D876" s="4" t="str">
        <f>"符文慧"</f>
        <v>符文慧</v>
      </c>
      <c r="E876" s="4" t="str">
        <f t="shared" si="65"/>
        <v>女</v>
      </c>
    </row>
    <row r="877" customHeight="1" spans="1:5">
      <c r="A877" s="4">
        <v>875</v>
      </c>
      <c r="B877" s="4" t="str">
        <f>"431720220810191048241150"</f>
        <v>431720220810191048241150</v>
      </c>
      <c r="C877" s="5" t="s">
        <v>9</v>
      </c>
      <c r="D877" s="4" t="str">
        <f>"彭海游"</f>
        <v>彭海游</v>
      </c>
      <c r="E877" s="4" t="str">
        <f t="shared" si="65"/>
        <v>女</v>
      </c>
    </row>
    <row r="878" customHeight="1" spans="1:5">
      <c r="A878" s="4">
        <v>876</v>
      </c>
      <c r="B878" s="4" t="str">
        <f>"431720220810191450241159"</f>
        <v>431720220810191450241159</v>
      </c>
      <c r="C878" s="5" t="s">
        <v>9</v>
      </c>
      <c r="D878" s="4" t="str">
        <f>"黄梦紫"</f>
        <v>黄梦紫</v>
      </c>
      <c r="E878" s="4" t="str">
        <f t="shared" si="65"/>
        <v>女</v>
      </c>
    </row>
    <row r="879" customHeight="1" spans="1:5">
      <c r="A879" s="4">
        <v>877</v>
      </c>
      <c r="B879" s="4" t="str">
        <f>"431720220810200429241264"</f>
        <v>431720220810200429241264</v>
      </c>
      <c r="C879" s="5" t="s">
        <v>9</v>
      </c>
      <c r="D879" s="4" t="str">
        <f>"赵明妹"</f>
        <v>赵明妹</v>
      </c>
      <c r="E879" s="4" t="str">
        <f t="shared" si="65"/>
        <v>女</v>
      </c>
    </row>
    <row r="880" customHeight="1" spans="1:5">
      <c r="A880" s="4">
        <v>878</v>
      </c>
      <c r="B880" s="4" t="str">
        <f>"431720220810234111241744"</f>
        <v>431720220810234111241744</v>
      </c>
      <c r="C880" s="5" t="s">
        <v>9</v>
      </c>
      <c r="D880" s="4" t="str">
        <f>"冯才颜"</f>
        <v>冯才颜</v>
      </c>
      <c r="E880" s="4" t="str">
        <f t="shared" si="65"/>
        <v>女</v>
      </c>
    </row>
    <row r="881" customHeight="1" spans="1:5">
      <c r="A881" s="4">
        <v>879</v>
      </c>
      <c r="B881" s="4" t="str">
        <f>"431720220811065938241824"</f>
        <v>431720220811065938241824</v>
      </c>
      <c r="C881" s="5" t="s">
        <v>9</v>
      </c>
      <c r="D881" s="4" t="str">
        <f>"邢春柳"</f>
        <v>邢春柳</v>
      </c>
      <c r="E881" s="4" t="str">
        <f t="shared" si="65"/>
        <v>女</v>
      </c>
    </row>
    <row r="882" customHeight="1" spans="1:5">
      <c r="A882" s="4">
        <v>880</v>
      </c>
      <c r="B882" s="4" t="str">
        <f>"431720220811090526242012"</f>
        <v>431720220811090526242012</v>
      </c>
      <c r="C882" s="5" t="s">
        <v>9</v>
      </c>
      <c r="D882" s="4" t="str">
        <f>"符佳苗"</f>
        <v>符佳苗</v>
      </c>
      <c r="E882" s="4" t="str">
        <f t="shared" si="65"/>
        <v>女</v>
      </c>
    </row>
    <row r="883" customHeight="1" spans="1:5">
      <c r="A883" s="4">
        <v>881</v>
      </c>
      <c r="B883" s="4" t="str">
        <f>"431720220811092759242081"</f>
        <v>431720220811092759242081</v>
      </c>
      <c r="C883" s="5" t="s">
        <v>9</v>
      </c>
      <c r="D883" s="4" t="str">
        <f>"张松贝"</f>
        <v>张松贝</v>
      </c>
      <c r="E883" s="4" t="str">
        <f t="shared" si="65"/>
        <v>女</v>
      </c>
    </row>
    <row r="884" customHeight="1" spans="1:5">
      <c r="A884" s="4">
        <v>882</v>
      </c>
      <c r="B884" s="4" t="str">
        <f>"431720220811093436242111"</f>
        <v>431720220811093436242111</v>
      </c>
      <c r="C884" s="5" t="s">
        <v>9</v>
      </c>
      <c r="D884" s="4" t="str">
        <f>"李应兰"</f>
        <v>李应兰</v>
      </c>
      <c r="E884" s="4" t="str">
        <f t="shared" si="65"/>
        <v>女</v>
      </c>
    </row>
    <row r="885" customHeight="1" spans="1:5">
      <c r="A885" s="4">
        <v>883</v>
      </c>
      <c r="B885" s="4" t="str">
        <f>"431720220811095053242176"</f>
        <v>431720220811095053242176</v>
      </c>
      <c r="C885" s="5" t="s">
        <v>9</v>
      </c>
      <c r="D885" s="4" t="str">
        <f>"林燕娇"</f>
        <v>林燕娇</v>
      </c>
      <c r="E885" s="4" t="str">
        <f t="shared" si="65"/>
        <v>女</v>
      </c>
    </row>
    <row r="886" customHeight="1" spans="1:5">
      <c r="A886" s="4">
        <v>884</v>
      </c>
      <c r="B886" s="4" t="str">
        <f>"431720220811100602242233"</f>
        <v>431720220811100602242233</v>
      </c>
      <c r="C886" s="5" t="s">
        <v>9</v>
      </c>
      <c r="D886" s="4" t="str">
        <f>"黄淑美"</f>
        <v>黄淑美</v>
      </c>
      <c r="E886" s="4" t="str">
        <f t="shared" si="65"/>
        <v>女</v>
      </c>
    </row>
    <row r="887" customHeight="1" spans="1:5">
      <c r="A887" s="4">
        <v>885</v>
      </c>
      <c r="B887" s="4" t="str">
        <f>"431720220811102312242296"</f>
        <v>431720220811102312242296</v>
      </c>
      <c r="C887" s="5" t="s">
        <v>9</v>
      </c>
      <c r="D887" s="4" t="str">
        <f>"张少玲"</f>
        <v>张少玲</v>
      </c>
      <c r="E887" s="4" t="str">
        <f t="shared" si="65"/>
        <v>女</v>
      </c>
    </row>
    <row r="888" customHeight="1" spans="1:5">
      <c r="A888" s="4">
        <v>886</v>
      </c>
      <c r="B888" s="4" t="str">
        <f>"431720220811105954242409"</f>
        <v>431720220811105954242409</v>
      </c>
      <c r="C888" s="5" t="s">
        <v>9</v>
      </c>
      <c r="D888" s="4" t="str">
        <f>"蔡仁曼"</f>
        <v>蔡仁曼</v>
      </c>
      <c r="E888" s="4" t="str">
        <f t="shared" si="65"/>
        <v>女</v>
      </c>
    </row>
    <row r="889" customHeight="1" spans="1:5">
      <c r="A889" s="4">
        <v>887</v>
      </c>
      <c r="B889" s="4" t="str">
        <f>"431720220811112908242498"</f>
        <v>431720220811112908242498</v>
      </c>
      <c r="C889" s="5" t="s">
        <v>9</v>
      </c>
      <c r="D889" s="4" t="str">
        <f>"林如芳"</f>
        <v>林如芳</v>
      </c>
      <c r="E889" s="4" t="str">
        <f t="shared" si="65"/>
        <v>女</v>
      </c>
    </row>
    <row r="890" customHeight="1" spans="1:5">
      <c r="A890" s="4">
        <v>888</v>
      </c>
      <c r="B890" s="4" t="str">
        <f>"431720220811114259242526"</f>
        <v>431720220811114259242526</v>
      </c>
      <c r="C890" s="5" t="s">
        <v>9</v>
      </c>
      <c r="D890" s="4" t="str">
        <f>"翁云惠"</f>
        <v>翁云惠</v>
      </c>
      <c r="E890" s="4" t="str">
        <f t="shared" si="65"/>
        <v>女</v>
      </c>
    </row>
    <row r="891" customHeight="1" spans="1:5">
      <c r="A891" s="4">
        <v>889</v>
      </c>
      <c r="B891" s="4" t="str">
        <f>"431720220811131340242790"</f>
        <v>431720220811131340242790</v>
      </c>
      <c r="C891" s="5" t="s">
        <v>9</v>
      </c>
      <c r="D891" s="4" t="str">
        <f>"谢川秋"</f>
        <v>谢川秋</v>
      </c>
      <c r="E891" s="4" t="str">
        <f t="shared" si="65"/>
        <v>女</v>
      </c>
    </row>
    <row r="892" customHeight="1" spans="1:5">
      <c r="A892" s="4">
        <v>890</v>
      </c>
      <c r="B892" s="4" t="str">
        <f>"431720220811132148242819"</f>
        <v>431720220811132148242819</v>
      </c>
      <c r="C892" s="5" t="s">
        <v>9</v>
      </c>
      <c r="D892" s="4" t="str">
        <f>"张惠嘉"</f>
        <v>张惠嘉</v>
      </c>
      <c r="E892" s="4" t="str">
        <f t="shared" si="65"/>
        <v>女</v>
      </c>
    </row>
    <row r="893" customHeight="1" spans="1:5">
      <c r="A893" s="4">
        <v>891</v>
      </c>
      <c r="B893" s="4" t="str">
        <f>"431720220811152824243177"</f>
        <v>431720220811152824243177</v>
      </c>
      <c r="C893" s="5" t="s">
        <v>9</v>
      </c>
      <c r="D893" s="4" t="str">
        <f>"郑志芳"</f>
        <v>郑志芳</v>
      </c>
      <c r="E893" s="4" t="str">
        <f t="shared" si="65"/>
        <v>女</v>
      </c>
    </row>
    <row r="894" customHeight="1" spans="1:5">
      <c r="A894" s="4">
        <v>892</v>
      </c>
      <c r="B894" s="4" t="str">
        <f>"431720220811160025243277"</f>
        <v>431720220811160025243277</v>
      </c>
      <c r="C894" s="5" t="s">
        <v>9</v>
      </c>
      <c r="D894" s="4" t="str">
        <f>"王馨怡"</f>
        <v>王馨怡</v>
      </c>
      <c r="E894" s="4" t="str">
        <f t="shared" si="65"/>
        <v>女</v>
      </c>
    </row>
    <row r="895" customHeight="1" spans="1:5">
      <c r="A895" s="4">
        <v>893</v>
      </c>
      <c r="B895" s="4" t="str">
        <f>"431720220811165919243449"</f>
        <v>431720220811165919243449</v>
      </c>
      <c r="C895" s="5" t="s">
        <v>9</v>
      </c>
      <c r="D895" s="4" t="str">
        <f>"吴紫莹"</f>
        <v>吴紫莹</v>
      </c>
      <c r="E895" s="4" t="str">
        <f t="shared" si="65"/>
        <v>女</v>
      </c>
    </row>
    <row r="896" customHeight="1" spans="1:5">
      <c r="A896" s="4">
        <v>894</v>
      </c>
      <c r="B896" s="4" t="str">
        <f>"431720220811171751243497"</f>
        <v>431720220811171751243497</v>
      </c>
      <c r="C896" s="5" t="s">
        <v>9</v>
      </c>
      <c r="D896" s="4" t="str">
        <f>"陈婆乾"</f>
        <v>陈婆乾</v>
      </c>
      <c r="E896" s="4" t="str">
        <f t="shared" si="65"/>
        <v>女</v>
      </c>
    </row>
    <row r="897" customHeight="1" spans="1:5">
      <c r="A897" s="4">
        <v>895</v>
      </c>
      <c r="B897" s="4" t="str">
        <f>"431720220811172817243505"</f>
        <v>431720220811172817243505</v>
      </c>
      <c r="C897" s="5" t="s">
        <v>9</v>
      </c>
      <c r="D897" s="4" t="str">
        <f>"项赐凤"</f>
        <v>项赐凤</v>
      </c>
      <c r="E897" s="4" t="str">
        <f t="shared" si="65"/>
        <v>女</v>
      </c>
    </row>
    <row r="898" customHeight="1" spans="1:5">
      <c r="A898" s="4">
        <v>896</v>
      </c>
      <c r="B898" s="4" t="str">
        <f>"431720220811174843243520"</f>
        <v>431720220811174843243520</v>
      </c>
      <c r="C898" s="5" t="s">
        <v>9</v>
      </c>
      <c r="D898" s="4" t="str">
        <f>"黎金玉"</f>
        <v>黎金玉</v>
      </c>
      <c r="E898" s="4" t="str">
        <f t="shared" si="65"/>
        <v>女</v>
      </c>
    </row>
    <row r="899" customHeight="1" spans="1:5">
      <c r="A899" s="4">
        <v>897</v>
      </c>
      <c r="B899" s="4" t="str">
        <f>"431720220811182054243543"</f>
        <v>431720220811182054243543</v>
      </c>
      <c r="C899" s="5" t="s">
        <v>9</v>
      </c>
      <c r="D899" s="4" t="str">
        <f>"杨炳汉"</f>
        <v>杨炳汉</v>
      </c>
      <c r="E899" s="4" t="str">
        <f>"男"</f>
        <v>男</v>
      </c>
    </row>
    <row r="900" customHeight="1" spans="1:5">
      <c r="A900" s="4">
        <v>898</v>
      </c>
      <c r="B900" s="4" t="str">
        <f>"431720220811195048243589"</f>
        <v>431720220811195048243589</v>
      </c>
      <c r="C900" s="5" t="s">
        <v>9</v>
      </c>
      <c r="D900" s="4" t="str">
        <f>"蔡亲贝"</f>
        <v>蔡亲贝</v>
      </c>
      <c r="E900" s="4" t="str">
        <f t="shared" ref="E900:E923" si="66">"女"</f>
        <v>女</v>
      </c>
    </row>
    <row r="901" customHeight="1" spans="1:5">
      <c r="A901" s="4">
        <v>899</v>
      </c>
      <c r="B901" s="4" t="str">
        <f>"431720220811200909243597"</f>
        <v>431720220811200909243597</v>
      </c>
      <c r="C901" s="5" t="s">
        <v>9</v>
      </c>
      <c r="D901" s="4" t="str">
        <f>"徐燕燕"</f>
        <v>徐燕燕</v>
      </c>
      <c r="E901" s="4" t="str">
        <f t="shared" si="66"/>
        <v>女</v>
      </c>
    </row>
    <row r="902" customHeight="1" spans="1:5">
      <c r="A902" s="4">
        <v>900</v>
      </c>
      <c r="B902" s="4" t="str">
        <f>"431720220811202103243605"</f>
        <v>431720220811202103243605</v>
      </c>
      <c r="C902" s="5" t="s">
        <v>9</v>
      </c>
      <c r="D902" s="4" t="str">
        <f>"何梦洋"</f>
        <v>何梦洋</v>
      </c>
      <c r="E902" s="4" t="str">
        <f>"男"</f>
        <v>男</v>
      </c>
    </row>
    <row r="903" customHeight="1" spans="1:5">
      <c r="A903" s="4">
        <v>901</v>
      </c>
      <c r="B903" s="4" t="str">
        <f>"431720220811204754243621"</f>
        <v>431720220811204754243621</v>
      </c>
      <c r="C903" s="5" t="s">
        <v>9</v>
      </c>
      <c r="D903" s="4" t="str">
        <f>"韩子珍"</f>
        <v>韩子珍</v>
      </c>
      <c r="E903" s="4" t="str">
        <f t="shared" si="66"/>
        <v>女</v>
      </c>
    </row>
    <row r="904" customHeight="1" spans="1:5">
      <c r="A904" s="4">
        <v>902</v>
      </c>
      <c r="B904" s="4" t="str">
        <f>"431720220811215959243663"</f>
        <v>431720220811215959243663</v>
      </c>
      <c r="C904" s="5" t="s">
        <v>9</v>
      </c>
      <c r="D904" s="4" t="str">
        <f>"许琳"</f>
        <v>许琳</v>
      </c>
      <c r="E904" s="4" t="str">
        <f t="shared" si="66"/>
        <v>女</v>
      </c>
    </row>
    <row r="905" customHeight="1" spans="1:5">
      <c r="A905" s="4">
        <v>903</v>
      </c>
      <c r="B905" s="4" t="str">
        <f>"431720220811222520243682"</f>
        <v>431720220811222520243682</v>
      </c>
      <c r="C905" s="5" t="s">
        <v>9</v>
      </c>
      <c r="D905" s="4" t="str">
        <f>"林丽祺"</f>
        <v>林丽祺</v>
      </c>
      <c r="E905" s="4" t="str">
        <f t="shared" si="66"/>
        <v>女</v>
      </c>
    </row>
    <row r="906" customHeight="1" spans="1:5">
      <c r="A906" s="4">
        <v>904</v>
      </c>
      <c r="B906" s="4" t="str">
        <f>"431720220811233115243717"</f>
        <v>431720220811233115243717</v>
      </c>
      <c r="C906" s="5" t="s">
        <v>9</v>
      </c>
      <c r="D906" s="4" t="str">
        <f>"林萍萍"</f>
        <v>林萍萍</v>
      </c>
      <c r="E906" s="4" t="str">
        <f t="shared" si="66"/>
        <v>女</v>
      </c>
    </row>
    <row r="907" customHeight="1" spans="1:5">
      <c r="A907" s="4">
        <v>905</v>
      </c>
      <c r="B907" s="4" t="str">
        <f>"431720220811235232243728"</f>
        <v>431720220811235232243728</v>
      </c>
      <c r="C907" s="5" t="s">
        <v>9</v>
      </c>
      <c r="D907" s="4" t="str">
        <f>"钟春霞"</f>
        <v>钟春霞</v>
      </c>
      <c r="E907" s="4" t="str">
        <f t="shared" si="66"/>
        <v>女</v>
      </c>
    </row>
    <row r="908" customHeight="1" spans="1:5">
      <c r="A908" s="4">
        <v>906</v>
      </c>
      <c r="B908" s="4" t="str">
        <f>"431720220811235818243734"</f>
        <v>431720220811235818243734</v>
      </c>
      <c r="C908" s="5" t="s">
        <v>9</v>
      </c>
      <c r="D908" s="4" t="str">
        <f>"符创雀"</f>
        <v>符创雀</v>
      </c>
      <c r="E908" s="4" t="str">
        <f t="shared" si="66"/>
        <v>女</v>
      </c>
    </row>
    <row r="909" customHeight="1" spans="1:5">
      <c r="A909" s="4">
        <v>907</v>
      </c>
      <c r="B909" s="4" t="str">
        <f>"431720220812000535243739"</f>
        <v>431720220812000535243739</v>
      </c>
      <c r="C909" s="5" t="s">
        <v>9</v>
      </c>
      <c r="D909" s="4" t="str">
        <f>"肖云霜"</f>
        <v>肖云霜</v>
      </c>
      <c r="E909" s="4" t="str">
        <f t="shared" si="66"/>
        <v>女</v>
      </c>
    </row>
    <row r="910" customHeight="1" spans="1:5">
      <c r="A910" s="4">
        <v>908</v>
      </c>
      <c r="B910" s="4" t="str">
        <f>"431720220812004339243752"</f>
        <v>431720220812004339243752</v>
      </c>
      <c r="C910" s="5" t="s">
        <v>9</v>
      </c>
      <c r="D910" s="4" t="str">
        <f>"符雨萌"</f>
        <v>符雨萌</v>
      </c>
      <c r="E910" s="4" t="str">
        <f t="shared" si="66"/>
        <v>女</v>
      </c>
    </row>
    <row r="911" customHeight="1" spans="1:5">
      <c r="A911" s="4">
        <v>909</v>
      </c>
      <c r="B911" s="4" t="str">
        <f>"431720220812065242243765"</f>
        <v>431720220812065242243765</v>
      </c>
      <c r="C911" s="5" t="s">
        <v>9</v>
      </c>
      <c r="D911" s="4" t="str">
        <f>"刘小菊"</f>
        <v>刘小菊</v>
      </c>
      <c r="E911" s="4" t="str">
        <f t="shared" si="66"/>
        <v>女</v>
      </c>
    </row>
    <row r="912" customHeight="1" spans="1:5">
      <c r="A912" s="4">
        <v>910</v>
      </c>
      <c r="B912" s="4" t="str">
        <f>"431720220812104613244020"</f>
        <v>431720220812104613244020</v>
      </c>
      <c r="C912" s="5" t="s">
        <v>9</v>
      </c>
      <c r="D912" s="4" t="str">
        <f>"张晓椰"</f>
        <v>张晓椰</v>
      </c>
      <c r="E912" s="4" t="str">
        <f t="shared" si="66"/>
        <v>女</v>
      </c>
    </row>
    <row r="913" customHeight="1" spans="1:5">
      <c r="A913" s="4">
        <v>911</v>
      </c>
      <c r="B913" s="4" t="str">
        <f>"431720220812121646244162"</f>
        <v>431720220812121646244162</v>
      </c>
      <c r="C913" s="5" t="s">
        <v>9</v>
      </c>
      <c r="D913" s="4" t="str">
        <f>"王小山"</f>
        <v>王小山</v>
      </c>
      <c r="E913" s="4" t="str">
        <f t="shared" si="66"/>
        <v>女</v>
      </c>
    </row>
    <row r="914" customHeight="1" spans="1:5">
      <c r="A914" s="4">
        <v>912</v>
      </c>
      <c r="B914" s="4" t="str">
        <f>"431720220812121801244165"</f>
        <v>431720220812121801244165</v>
      </c>
      <c r="C914" s="5" t="s">
        <v>9</v>
      </c>
      <c r="D914" s="4" t="str">
        <f>"卢燕玲"</f>
        <v>卢燕玲</v>
      </c>
      <c r="E914" s="4" t="str">
        <f t="shared" si="66"/>
        <v>女</v>
      </c>
    </row>
    <row r="915" customHeight="1" spans="1:5">
      <c r="A915" s="4">
        <v>913</v>
      </c>
      <c r="B915" s="4" t="str">
        <f>"431720220812121838244167"</f>
        <v>431720220812121838244167</v>
      </c>
      <c r="C915" s="5" t="s">
        <v>9</v>
      </c>
      <c r="D915" s="4" t="str">
        <f>"王卜玉"</f>
        <v>王卜玉</v>
      </c>
      <c r="E915" s="4" t="str">
        <f t="shared" si="66"/>
        <v>女</v>
      </c>
    </row>
    <row r="916" customHeight="1" spans="1:5">
      <c r="A916" s="4">
        <v>914</v>
      </c>
      <c r="B916" s="4" t="str">
        <f>"431720220812124536244196"</f>
        <v>431720220812124536244196</v>
      </c>
      <c r="C916" s="5" t="s">
        <v>9</v>
      </c>
      <c r="D916" s="4" t="str">
        <f>"陈梅"</f>
        <v>陈梅</v>
      </c>
      <c r="E916" s="4" t="str">
        <f t="shared" si="66"/>
        <v>女</v>
      </c>
    </row>
    <row r="917" customHeight="1" spans="1:5">
      <c r="A917" s="4">
        <v>915</v>
      </c>
      <c r="B917" s="4" t="str">
        <f>"431720220812133810244255"</f>
        <v>431720220812133810244255</v>
      </c>
      <c r="C917" s="5" t="s">
        <v>9</v>
      </c>
      <c r="D917" s="4" t="str">
        <f>"林文青"</f>
        <v>林文青</v>
      </c>
      <c r="E917" s="4" t="str">
        <f t="shared" si="66"/>
        <v>女</v>
      </c>
    </row>
    <row r="918" customHeight="1" spans="1:5">
      <c r="A918" s="4">
        <v>916</v>
      </c>
      <c r="B918" s="4" t="str">
        <f>"431720220812142051244292"</f>
        <v>431720220812142051244292</v>
      </c>
      <c r="C918" s="5" t="s">
        <v>9</v>
      </c>
      <c r="D918" s="4" t="str">
        <f>"何仁妹"</f>
        <v>何仁妹</v>
      </c>
      <c r="E918" s="4" t="str">
        <f t="shared" si="66"/>
        <v>女</v>
      </c>
    </row>
    <row r="919" customHeight="1" spans="1:5">
      <c r="A919" s="4">
        <v>917</v>
      </c>
      <c r="B919" s="4" t="str">
        <f>"431720220812143751244313"</f>
        <v>431720220812143751244313</v>
      </c>
      <c r="C919" s="5" t="s">
        <v>9</v>
      </c>
      <c r="D919" s="4" t="str">
        <f>"王丽"</f>
        <v>王丽</v>
      </c>
      <c r="E919" s="4" t="str">
        <f t="shared" si="66"/>
        <v>女</v>
      </c>
    </row>
    <row r="920" customHeight="1" spans="1:5">
      <c r="A920" s="4">
        <v>918</v>
      </c>
      <c r="B920" s="4" t="str">
        <f>"431720220812144911244326"</f>
        <v>431720220812144911244326</v>
      </c>
      <c r="C920" s="5" t="s">
        <v>9</v>
      </c>
      <c r="D920" s="4" t="str">
        <f>"吴春秀"</f>
        <v>吴春秀</v>
      </c>
      <c r="E920" s="4" t="str">
        <f t="shared" si="66"/>
        <v>女</v>
      </c>
    </row>
    <row r="921" customHeight="1" spans="1:5">
      <c r="A921" s="4">
        <v>919</v>
      </c>
      <c r="B921" s="4" t="str">
        <f>"431720220812153624244391"</f>
        <v>431720220812153624244391</v>
      </c>
      <c r="C921" s="5" t="s">
        <v>9</v>
      </c>
      <c r="D921" s="4" t="str">
        <f>"李国英"</f>
        <v>李国英</v>
      </c>
      <c r="E921" s="4" t="str">
        <f t="shared" si="66"/>
        <v>女</v>
      </c>
    </row>
    <row r="922" customHeight="1" spans="1:5">
      <c r="A922" s="4">
        <v>920</v>
      </c>
      <c r="B922" s="4" t="str">
        <f>"431720220812161709244452"</f>
        <v>431720220812161709244452</v>
      </c>
      <c r="C922" s="5" t="s">
        <v>9</v>
      </c>
      <c r="D922" s="4" t="str">
        <f>"王春柳"</f>
        <v>王春柳</v>
      </c>
      <c r="E922" s="4" t="str">
        <f t="shared" si="66"/>
        <v>女</v>
      </c>
    </row>
    <row r="923" customHeight="1" spans="1:5">
      <c r="A923" s="4">
        <v>921</v>
      </c>
      <c r="B923" s="4" t="str">
        <f>"431720220806091327231221"</f>
        <v>431720220806091327231221</v>
      </c>
      <c r="C923" s="5" t="s">
        <v>10</v>
      </c>
      <c r="D923" s="4" t="str">
        <f>"梁彩莲"</f>
        <v>梁彩莲</v>
      </c>
      <c r="E923" s="4" t="str">
        <f t="shared" si="66"/>
        <v>女</v>
      </c>
    </row>
    <row r="924" customHeight="1" spans="1:5">
      <c r="A924" s="4">
        <v>922</v>
      </c>
      <c r="B924" s="4" t="str">
        <f>"431720220806095356231355"</f>
        <v>431720220806095356231355</v>
      </c>
      <c r="C924" s="5" t="s">
        <v>10</v>
      </c>
      <c r="D924" s="4" t="str">
        <f>"刘伟鼎"</f>
        <v>刘伟鼎</v>
      </c>
      <c r="E924" s="4" t="str">
        <f t="shared" ref="E924:E939" si="67">"男"</f>
        <v>男</v>
      </c>
    </row>
    <row r="925" customHeight="1" spans="1:5">
      <c r="A925" s="4">
        <v>923</v>
      </c>
      <c r="B925" s="4" t="str">
        <f>"431720220806095734231364"</f>
        <v>431720220806095734231364</v>
      </c>
      <c r="C925" s="5" t="s">
        <v>10</v>
      </c>
      <c r="D925" s="4" t="str">
        <f>"王广翔"</f>
        <v>王广翔</v>
      </c>
      <c r="E925" s="4" t="str">
        <f t="shared" si="67"/>
        <v>男</v>
      </c>
    </row>
    <row r="926" customHeight="1" spans="1:5">
      <c r="A926" s="4">
        <v>924</v>
      </c>
      <c r="B926" s="4" t="str">
        <f>"431720220806102549231453"</f>
        <v>431720220806102549231453</v>
      </c>
      <c r="C926" s="5" t="s">
        <v>10</v>
      </c>
      <c r="D926" s="4" t="str">
        <f>"王晶"</f>
        <v>王晶</v>
      </c>
      <c r="E926" s="4" t="str">
        <f>"女"</f>
        <v>女</v>
      </c>
    </row>
    <row r="927" customHeight="1" spans="1:5">
      <c r="A927" s="4">
        <v>925</v>
      </c>
      <c r="B927" s="4" t="str">
        <f>"431720220806111610231618"</f>
        <v>431720220806111610231618</v>
      </c>
      <c r="C927" s="5" t="s">
        <v>10</v>
      </c>
      <c r="D927" s="4" t="str">
        <f>"范炜杰"</f>
        <v>范炜杰</v>
      </c>
      <c r="E927" s="4" t="str">
        <f t="shared" si="67"/>
        <v>男</v>
      </c>
    </row>
    <row r="928" customHeight="1" spans="1:5">
      <c r="A928" s="4">
        <v>926</v>
      </c>
      <c r="B928" s="4" t="str">
        <f>"431720220806112932231662"</f>
        <v>431720220806112932231662</v>
      </c>
      <c r="C928" s="5" t="s">
        <v>10</v>
      </c>
      <c r="D928" s="4" t="str">
        <f>"林瑞硕"</f>
        <v>林瑞硕</v>
      </c>
      <c r="E928" s="4" t="str">
        <f t="shared" si="67"/>
        <v>男</v>
      </c>
    </row>
    <row r="929" customHeight="1" spans="1:5">
      <c r="A929" s="4">
        <v>927</v>
      </c>
      <c r="B929" s="4" t="str">
        <f>"431720220806120150231760"</f>
        <v>431720220806120150231760</v>
      </c>
      <c r="C929" s="5" t="s">
        <v>10</v>
      </c>
      <c r="D929" s="4" t="str">
        <f>"高冠卓"</f>
        <v>高冠卓</v>
      </c>
      <c r="E929" s="4" t="str">
        <f t="shared" si="67"/>
        <v>男</v>
      </c>
    </row>
    <row r="930" customHeight="1" spans="1:5">
      <c r="A930" s="4">
        <v>928</v>
      </c>
      <c r="B930" s="4" t="str">
        <f>"431720220806120448231768"</f>
        <v>431720220806120448231768</v>
      </c>
      <c r="C930" s="5" t="s">
        <v>10</v>
      </c>
      <c r="D930" s="4" t="str">
        <f>"陈元才"</f>
        <v>陈元才</v>
      </c>
      <c r="E930" s="4" t="str">
        <f t="shared" si="67"/>
        <v>男</v>
      </c>
    </row>
    <row r="931" customHeight="1" spans="1:5">
      <c r="A931" s="4">
        <v>929</v>
      </c>
      <c r="B931" s="4" t="str">
        <f>"431720220806120927231779"</f>
        <v>431720220806120927231779</v>
      </c>
      <c r="C931" s="5" t="s">
        <v>10</v>
      </c>
      <c r="D931" s="4" t="str">
        <f>"马强"</f>
        <v>马强</v>
      </c>
      <c r="E931" s="4" t="str">
        <f t="shared" si="67"/>
        <v>男</v>
      </c>
    </row>
    <row r="932" customHeight="1" spans="1:5">
      <c r="A932" s="4">
        <v>930</v>
      </c>
      <c r="B932" s="4" t="str">
        <f>"431720220806143746232129"</f>
        <v>431720220806143746232129</v>
      </c>
      <c r="C932" s="5" t="s">
        <v>10</v>
      </c>
      <c r="D932" s="4" t="str">
        <f>"杨月镇"</f>
        <v>杨月镇</v>
      </c>
      <c r="E932" s="4" t="str">
        <f t="shared" si="67"/>
        <v>男</v>
      </c>
    </row>
    <row r="933" customHeight="1" spans="1:5">
      <c r="A933" s="4">
        <v>931</v>
      </c>
      <c r="B933" s="4" t="str">
        <f>"431720220806151554232208"</f>
        <v>431720220806151554232208</v>
      </c>
      <c r="C933" s="5" t="s">
        <v>10</v>
      </c>
      <c r="D933" s="4" t="str">
        <f>"羊进虎"</f>
        <v>羊进虎</v>
      </c>
      <c r="E933" s="4" t="str">
        <f t="shared" si="67"/>
        <v>男</v>
      </c>
    </row>
    <row r="934" customHeight="1" spans="1:5">
      <c r="A934" s="4">
        <v>932</v>
      </c>
      <c r="B934" s="4" t="str">
        <f>"431720220806160339232311"</f>
        <v>431720220806160339232311</v>
      </c>
      <c r="C934" s="5" t="s">
        <v>10</v>
      </c>
      <c r="D934" s="4" t="str">
        <f>"陈永弟"</f>
        <v>陈永弟</v>
      </c>
      <c r="E934" s="4" t="str">
        <f t="shared" si="67"/>
        <v>男</v>
      </c>
    </row>
    <row r="935" customHeight="1" spans="1:5">
      <c r="A935" s="4">
        <v>933</v>
      </c>
      <c r="B935" s="4" t="str">
        <f>"431720220806192400232601"</f>
        <v>431720220806192400232601</v>
      </c>
      <c r="C935" s="5" t="s">
        <v>10</v>
      </c>
      <c r="D935" s="4" t="str">
        <f>"杨林翰"</f>
        <v>杨林翰</v>
      </c>
      <c r="E935" s="4" t="str">
        <f t="shared" si="67"/>
        <v>男</v>
      </c>
    </row>
    <row r="936" customHeight="1" spans="1:5">
      <c r="A936" s="4">
        <v>934</v>
      </c>
      <c r="B936" s="4" t="str">
        <f>"431720220806193523232617"</f>
        <v>431720220806193523232617</v>
      </c>
      <c r="C936" s="5" t="s">
        <v>10</v>
      </c>
      <c r="D936" s="4" t="str">
        <f>"符宁"</f>
        <v>符宁</v>
      </c>
      <c r="E936" s="4" t="str">
        <f t="shared" si="67"/>
        <v>男</v>
      </c>
    </row>
    <row r="937" customHeight="1" spans="1:5">
      <c r="A937" s="4">
        <v>935</v>
      </c>
      <c r="B937" s="4" t="str">
        <f>"431720220806193750232622"</f>
        <v>431720220806193750232622</v>
      </c>
      <c r="C937" s="5" t="s">
        <v>10</v>
      </c>
      <c r="D937" s="4" t="str">
        <f>"郭亚轩"</f>
        <v>郭亚轩</v>
      </c>
      <c r="E937" s="4" t="str">
        <f t="shared" si="67"/>
        <v>男</v>
      </c>
    </row>
    <row r="938" customHeight="1" spans="1:5">
      <c r="A938" s="4">
        <v>936</v>
      </c>
      <c r="B938" s="4" t="str">
        <f>"431720220806213633232758"</f>
        <v>431720220806213633232758</v>
      </c>
      <c r="C938" s="5" t="s">
        <v>10</v>
      </c>
      <c r="D938" s="4" t="str">
        <f>"王运琪"</f>
        <v>王运琪</v>
      </c>
      <c r="E938" s="4" t="str">
        <f t="shared" si="67"/>
        <v>男</v>
      </c>
    </row>
    <row r="939" customHeight="1" spans="1:5">
      <c r="A939" s="4">
        <v>937</v>
      </c>
      <c r="B939" s="4" t="str">
        <f>"431720220807032248232897"</f>
        <v>431720220807032248232897</v>
      </c>
      <c r="C939" s="5" t="s">
        <v>10</v>
      </c>
      <c r="D939" s="4" t="str">
        <f>"黄泽翔"</f>
        <v>黄泽翔</v>
      </c>
      <c r="E939" s="4" t="str">
        <f t="shared" si="67"/>
        <v>男</v>
      </c>
    </row>
    <row r="940" customHeight="1" spans="1:5">
      <c r="A940" s="4">
        <v>938</v>
      </c>
      <c r="B940" s="4" t="str">
        <f>"431720220807070944232906"</f>
        <v>431720220807070944232906</v>
      </c>
      <c r="C940" s="5" t="s">
        <v>10</v>
      </c>
      <c r="D940" s="4" t="str">
        <f>"符贻芬"</f>
        <v>符贻芬</v>
      </c>
      <c r="E940" s="4" t="str">
        <f t="shared" ref="E940:E942" si="68">"女"</f>
        <v>女</v>
      </c>
    </row>
    <row r="941" customHeight="1" spans="1:5">
      <c r="A941" s="4">
        <v>939</v>
      </c>
      <c r="B941" s="4" t="str">
        <f>"431720220807103748233043"</f>
        <v>431720220807103748233043</v>
      </c>
      <c r="C941" s="5" t="s">
        <v>10</v>
      </c>
      <c r="D941" s="4" t="str">
        <f>"何家平"</f>
        <v>何家平</v>
      </c>
      <c r="E941" s="4" t="str">
        <f t="shared" si="68"/>
        <v>女</v>
      </c>
    </row>
    <row r="942" customHeight="1" spans="1:5">
      <c r="A942" s="4">
        <v>940</v>
      </c>
      <c r="B942" s="4" t="str">
        <f>"431720220807110300233073"</f>
        <v>431720220807110300233073</v>
      </c>
      <c r="C942" s="5" t="s">
        <v>10</v>
      </c>
      <c r="D942" s="4" t="str">
        <f>"江蕊孜"</f>
        <v>江蕊孜</v>
      </c>
      <c r="E942" s="4" t="str">
        <f t="shared" si="68"/>
        <v>女</v>
      </c>
    </row>
    <row r="943" customHeight="1" spans="1:5">
      <c r="A943" s="4">
        <v>941</v>
      </c>
      <c r="B943" s="4" t="str">
        <f>"431720220807120910233137"</f>
        <v>431720220807120910233137</v>
      </c>
      <c r="C943" s="5" t="s">
        <v>10</v>
      </c>
      <c r="D943" s="4" t="str">
        <f>"王泰基"</f>
        <v>王泰基</v>
      </c>
      <c r="E943" s="4" t="str">
        <f t="shared" ref="E943:E947" si="69">"男"</f>
        <v>男</v>
      </c>
    </row>
    <row r="944" customHeight="1" spans="1:5">
      <c r="A944" s="4">
        <v>942</v>
      </c>
      <c r="B944" s="4" t="str">
        <f>"431720220807124419233168"</f>
        <v>431720220807124419233168</v>
      </c>
      <c r="C944" s="5" t="s">
        <v>10</v>
      </c>
      <c r="D944" s="4" t="str">
        <f>"孟开荣"</f>
        <v>孟开荣</v>
      </c>
      <c r="E944" s="4" t="str">
        <f t="shared" si="69"/>
        <v>男</v>
      </c>
    </row>
    <row r="945" customHeight="1" spans="1:5">
      <c r="A945" s="4">
        <v>943</v>
      </c>
      <c r="B945" s="4" t="str">
        <f>"431720220807125251233171"</f>
        <v>431720220807125251233171</v>
      </c>
      <c r="C945" s="5" t="s">
        <v>10</v>
      </c>
      <c r="D945" s="4" t="str">
        <f>"车成杰"</f>
        <v>车成杰</v>
      </c>
      <c r="E945" s="4" t="str">
        <f t="shared" si="69"/>
        <v>男</v>
      </c>
    </row>
    <row r="946" customHeight="1" spans="1:5">
      <c r="A946" s="4">
        <v>944</v>
      </c>
      <c r="B946" s="4" t="str">
        <f>"431720220807134953233221"</f>
        <v>431720220807134953233221</v>
      </c>
      <c r="C946" s="5" t="s">
        <v>10</v>
      </c>
      <c r="D946" s="4" t="str">
        <f>"曾川用"</f>
        <v>曾川用</v>
      </c>
      <c r="E946" s="4" t="str">
        <f t="shared" si="69"/>
        <v>男</v>
      </c>
    </row>
    <row r="947" customHeight="1" spans="1:5">
      <c r="A947" s="4">
        <v>945</v>
      </c>
      <c r="B947" s="4" t="str">
        <f>"431720220807140923233240"</f>
        <v>431720220807140923233240</v>
      </c>
      <c r="C947" s="5" t="s">
        <v>10</v>
      </c>
      <c r="D947" s="4" t="str">
        <f>"胡其伶"</f>
        <v>胡其伶</v>
      </c>
      <c r="E947" s="4" t="str">
        <f t="shared" si="69"/>
        <v>男</v>
      </c>
    </row>
    <row r="948" customHeight="1" spans="1:5">
      <c r="A948" s="4">
        <v>946</v>
      </c>
      <c r="B948" s="4" t="str">
        <f>"431720220807154643233341"</f>
        <v>431720220807154643233341</v>
      </c>
      <c r="C948" s="5" t="s">
        <v>10</v>
      </c>
      <c r="D948" s="4" t="str">
        <f>"何祖慧"</f>
        <v>何祖慧</v>
      </c>
      <c r="E948" s="4" t="str">
        <f>"女"</f>
        <v>女</v>
      </c>
    </row>
    <row r="949" customHeight="1" spans="1:5">
      <c r="A949" s="4">
        <v>947</v>
      </c>
      <c r="B949" s="4" t="str">
        <f>"431720220807155209233352"</f>
        <v>431720220807155209233352</v>
      </c>
      <c r="C949" s="5" t="s">
        <v>10</v>
      </c>
      <c r="D949" s="4" t="str">
        <f>"邓发欣"</f>
        <v>邓发欣</v>
      </c>
      <c r="E949" s="4" t="str">
        <f t="shared" ref="E949:E954" si="70">"男"</f>
        <v>男</v>
      </c>
    </row>
    <row r="950" customHeight="1" spans="1:5">
      <c r="A950" s="4">
        <v>948</v>
      </c>
      <c r="B950" s="4" t="str">
        <f>"431720220807163516233404"</f>
        <v>431720220807163516233404</v>
      </c>
      <c r="C950" s="5" t="s">
        <v>10</v>
      </c>
      <c r="D950" s="4" t="str">
        <f>"周吉磊"</f>
        <v>周吉磊</v>
      </c>
      <c r="E950" s="4" t="str">
        <f t="shared" si="70"/>
        <v>男</v>
      </c>
    </row>
    <row r="951" customHeight="1" spans="1:5">
      <c r="A951" s="4">
        <v>949</v>
      </c>
      <c r="B951" s="4" t="str">
        <f>"431720220807214135233605"</f>
        <v>431720220807214135233605</v>
      </c>
      <c r="C951" s="5" t="s">
        <v>10</v>
      </c>
      <c r="D951" s="4" t="str">
        <f>"陈峰"</f>
        <v>陈峰</v>
      </c>
      <c r="E951" s="4" t="str">
        <f t="shared" si="70"/>
        <v>男</v>
      </c>
    </row>
    <row r="952" customHeight="1" spans="1:5">
      <c r="A952" s="4">
        <v>950</v>
      </c>
      <c r="B952" s="4" t="str">
        <f>"431720220807233837233670"</f>
        <v>431720220807233837233670</v>
      </c>
      <c r="C952" s="5" t="s">
        <v>10</v>
      </c>
      <c r="D952" s="4" t="str">
        <f>"陈益浮"</f>
        <v>陈益浮</v>
      </c>
      <c r="E952" s="4" t="str">
        <f t="shared" si="70"/>
        <v>男</v>
      </c>
    </row>
    <row r="953" customHeight="1" spans="1:5">
      <c r="A953" s="4">
        <v>951</v>
      </c>
      <c r="B953" s="4" t="str">
        <f>"431720220807234858233672"</f>
        <v>431720220807234858233672</v>
      </c>
      <c r="C953" s="5" t="s">
        <v>10</v>
      </c>
      <c r="D953" s="4" t="str">
        <f>"郑时一"</f>
        <v>郑时一</v>
      </c>
      <c r="E953" s="4" t="str">
        <f t="shared" si="70"/>
        <v>男</v>
      </c>
    </row>
    <row r="954" customHeight="1" spans="1:5">
      <c r="A954" s="4">
        <v>952</v>
      </c>
      <c r="B954" s="4" t="str">
        <f>"431720220808100131234454"</f>
        <v>431720220808100131234454</v>
      </c>
      <c r="C954" s="5" t="s">
        <v>10</v>
      </c>
      <c r="D954" s="4" t="str">
        <f>"王冲"</f>
        <v>王冲</v>
      </c>
      <c r="E954" s="4" t="str">
        <f t="shared" si="70"/>
        <v>男</v>
      </c>
    </row>
    <row r="955" customHeight="1" spans="1:5">
      <c r="A955" s="4">
        <v>953</v>
      </c>
      <c r="B955" s="4" t="str">
        <f>"431720220808101224234503"</f>
        <v>431720220808101224234503</v>
      </c>
      <c r="C955" s="5" t="s">
        <v>10</v>
      </c>
      <c r="D955" s="4" t="str">
        <f>"袁艳敏"</f>
        <v>袁艳敏</v>
      </c>
      <c r="E955" s="4" t="str">
        <f>"女"</f>
        <v>女</v>
      </c>
    </row>
    <row r="956" customHeight="1" spans="1:5">
      <c r="A956" s="4">
        <v>954</v>
      </c>
      <c r="B956" s="4" t="str">
        <f>"431720220808103153234634"</f>
        <v>431720220808103153234634</v>
      </c>
      <c r="C956" s="5" t="s">
        <v>10</v>
      </c>
      <c r="D956" s="4" t="str">
        <f>"陈真宝"</f>
        <v>陈真宝</v>
      </c>
      <c r="E956" s="4" t="str">
        <f t="shared" ref="E956:E962" si="71">"男"</f>
        <v>男</v>
      </c>
    </row>
    <row r="957" customHeight="1" spans="1:5">
      <c r="A957" s="4">
        <v>955</v>
      </c>
      <c r="B957" s="4" t="str">
        <f>"431720220808104436234724"</f>
        <v>431720220808104436234724</v>
      </c>
      <c r="C957" s="5" t="s">
        <v>10</v>
      </c>
      <c r="D957" s="4" t="str">
        <f>"胡井龙"</f>
        <v>胡井龙</v>
      </c>
      <c r="E957" s="4" t="str">
        <f t="shared" si="71"/>
        <v>男</v>
      </c>
    </row>
    <row r="958" customHeight="1" spans="1:5">
      <c r="A958" s="4">
        <v>956</v>
      </c>
      <c r="B958" s="4" t="str">
        <f>"431720220808122303235139"</f>
        <v>431720220808122303235139</v>
      </c>
      <c r="C958" s="5" t="s">
        <v>10</v>
      </c>
      <c r="D958" s="4" t="str">
        <f>"赵金波"</f>
        <v>赵金波</v>
      </c>
      <c r="E958" s="4" t="str">
        <f t="shared" si="71"/>
        <v>男</v>
      </c>
    </row>
    <row r="959" customHeight="1" spans="1:5">
      <c r="A959" s="4">
        <v>957</v>
      </c>
      <c r="B959" s="4" t="str">
        <f>"431720220808134059235389"</f>
        <v>431720220808134059235389</v>
      </c>
      <c r="C959" s="5" t="s">
        <v>10</v>
      </c>
      <c r="D959" s="4" t="str">
        <f>"孙伟琪"</f>
        <v>孙伟琪</v>
      </c>
      <c r="E959" s="4" t="str">
        <f t="shared" si="71"/>
        <v>男</v>
      </c>
    </row>
    <row r="960" customHeight="1" spans="1:5">
      <c r="A960" s="4">
        <v>958</v>
      </c>
      <c r="B960" s="4" t="str">
        <f>"431720220808135357235422"</f>
        <v>431720220808135357235422</v>
      </c>
      <c r="C960" s="5" t="s">
        <v>10</v>
      </c>
      <c r="D960" s="4" t="str">
        <f>"王文伟"</f>
        <v>王文伟</v>
      </c>
      <c r="E960" s="4" t="str">
        <f t="shared" si="71"/>
        <v>男</v>
      </c>
    </row>
    <row r="961" customHeight="1" spans="1:5">
      <c r="A961" s="4">
        <v>959</v>
      </c>
      <c r="B961" s="4" t="str">
        <f>"431720220808160059235806"</f>
        <v>431720220808160059235806</v>
      </c>
      <c r="C961" s="5" t="s">
        <v>10</v>
      </c>
      <c r="D961" s="4" t="str">
        <f>"邓雲灿"</f>
        <v>邓雲灿</v>
      </c>
      <c r="E961" s="4" t="str">
        <f t="shared" si="71"/>
        <v>男</v>
      </c>
    </row>
    <row r="962" customHeight="1" spans="1:5">
      <c r="A962" s="4">
        <v>960</v>
      </c>
      <c r="B962" s="4" t="str">
        <f>"431720220808193548236411"</f>
        <v>431720220808193548236411</v>
      </c>
      <c r="C962" s="5" t="s">
        <v>10</v>
      </c>
      <c r="D962" s="4" t="str">
        <f>"王玮"</f>
        <v>王玮</v>
      </c>
      <c r="E962" s="4" t="str">
        <f t="shared" si="71"/>
        <v>男</v>
      </c>
    </row>
    <row r="963" customHeight="1" spans="1:5">
      <c r="A963" s="4">
        <v>961</v>
      </c>
      <c r="B963" s="4" t="str">
        <f>"431720220808200107236464"</f>
        <v>431720220808200107236464</v>
      </c>
      <c r="C963" s="5" t="s">
        <v>10</v>
      </c>
      <c r="D963" s="4" t="str">
        <f>"冯学畅"</f>
        <v>冯学畅</v>
      </c>
      <c r="E963" s="4" t="str">
        <f>"女"</f>
        <v>女</v>
      </c>
    </row>
    <row r="964" customHeight="1" spans="1:5">
      <c r="A964" s="4">
        <v>962</v>
      </c>
      <c r="B964" s="4" t="str">
        <f>"431720220808202459236536"</f>
        <v>431720220808202459236536</v>
      </c>
      <c r="C964" s="5" t="s">
        <v>10</v>
      </c>
      <c r="D964" s="4" t="str">
        <f>"麦健峰"</f>
        <v>麦健峰</v>
      </c>
      <c r="E964" s="4" t="str">
        <f t="shared" ref="E964:E966" si="72">"男"</f>
        <v>男</v>
      </c>
    </row>
    <row r="965" customHeight="1" spans="1:5">
      <c r="A965" s="4">
        <v>963</v>
      </c>
      <c r="B965" s="4" t="str">
        <f>"431720220808214529236739"</f>
        <v>431720220808214529236739</v>
      </c>
      <c r="C965" s="5" t="s">
        <v>10</v>
      </c>
      <c r="D965" s="4" t="str">
        <f>"符炳坤"</f>
        <v>符炳坤</v>
      </c>
      <c r="E965" s="4" t="str">
        <f t="shared" si="72"/>
        <v>男</v>
      </c>
    </row>
    <row r="966" customHeight="1" spans="1:5">
      <c r="A966" s="4">
        <v>964</v>
      </c>
      <c r="B966" s="4" t="str">
        <f>"431720220808225309236880"</f>
        <v>431720220808225309236880</v>
      </c>
      <c r="C966" s="5" t="s">
        <v>10</v>
      </c>
      <c r="D966" s="4" t="str">
        <f>"谢开学"</f>
        <v>谢开学</v>
      </c>
      <c r="E966" s="4" t="str">
        <f t="shared" si="72"/>
        <v>男</v>
      </c>
    </row>
    <row r="967" customHeight="1" spans="1:5">
      <c r="A967" s="4">
        <v>965</v>
      </c>
      <c r="B967" s="4" t="str">
        <f>"431720220809201131238740"</f>
        <v>431720220809201131238740</v>
      </c>
      <c r="C967" s="5" t="s">
        <v>10</v>
      </c>
      <c r="D967" s="4" t="str">
        <f>"卓丽婷"</f>
        <v>卓丽婷</v>
      </c>
      <c r="E967" s="4" t="str">
        <f>"女"</f>
        <v>女</v>
      </c>
    </row>
    <row r="968" customHeight="1" spans="1:5">
      <c r="A968" s="4">
        <v>966</v>
      </c>
      <c r="B968" s="4" t="str">
        <f>"431720220809232039239132"</f>
        <v>431720220809232039239132</v>
      </c>
      <c r="C968" s="5" t="s">
        <v>10</v>
      </c>
      <c r="D968" s="4" t="str">
        <f>"符启浩"</f>
        <v>符启浩</v>
      </c>
      <c r="E968" s="4" t="str">
        <f t="shared" ref="E968:E972" si="73">"男"</f>
        <v>男</v>
      </c>
    </row>
    <row r="969" customHeight="1" spans="1:5">
      <c r="A969" s="4">
        <v>967</v>
      </c>
      <c r="B969" s="4" t="str">
        <f>"431720220810102043239704"</f>
        <v>431720220810102043239704</v>
      </c>
      <c r="C969" s="5" t="s">
        <v>10</v>
      </c>
      <c r="D969" s="4" t="str">
        <f>"冯国桂"</f>
        <v>冯国桂</v>
      </c>
      <c r="E969" s="4" t="str">
        <f t="shared" si="73"/>
        <v>男</v>
      </c>
    </row>
    <row r="970" customHeight="1" spans="1:5">
      <c r="A970" s="4">
        <v>968</v>
      </c>
      <c r="B970" s="4" t="str">
        <f>"431720220810124644240140"</f>
        <v>431720220810124644240140</v>
      </c>
      <c r="C970" s="5" t="s">
        <v>10</v>
      </c>
      <c r="D970" s="4" t="str">
        <f>"苏诗中"</f>
        <v>苏诗中</v>
      </c>
      <c r="E970" s="4" t="str">
        <f t="shared" si="73"/>
        <v>男</v>
      </c>
    </row>
    <row r="971" customHeight="1" spans="1:5">
      <c r="A971" s="4">
        <v>969</v>
      </c>
      <c r="B971" s="4" t="str">
        <f>"431720220810171344240898"</f>
        <v>431720220810171344240898</v>
      </c>
      <c r="C971" s="5" t="s">
        <v>10</v>
      </c>
      <c r="D971" s="4" t="str">
        <f>"林明清"</f>
        <v>林明清</v>
      </c>
      <c r="E971" s="4" t="str">
        <f t="shared" si="73"/>
        <v>男</v>
      </c>
    </row>
    <row r="972" customHeight="1" spans="1:5">
      <c r="A972" s="4">
        <v>970</v>
      </c>
      <c r="B972" s="4" t="str">
        <f>"431720220810213351241487"</f>
        <v>431720220810213351241487</v>
      </c>
      <c r="C972" s="5" t="s">
        <v>10</v>
      </c>
      <c r="D972" s="4" t="str">
        <f>"黄是翔"</f>
        <v>黄是翔</v>
      </c>
      <c r="E972" s="4" t="str">
        <f t="shared" si="73"/>
        <v>男</v>
      </c>
    </row>
    <row r="973" customHeight="1" spans="1:5">
      <c r="A973" s="4">
        <v>971</v>
      </c>
      <c r="B973" s="4" t="str">
        <f>"431720220811085717241994"</f>
        <v>431720220811085717241994</v>
      </c>
      <c r="C973" s="5" t="s">
        <v>10</v>
      </c>
      <c r="D973" s="4" t="str">
        <f>"蔡莉"</f>
        <v>蔡莉</v>
      </c>
      <c r="E973" s="4" t="str">
        <f>"女"</f>
        <v>女</v>
      </c>
    </row>
    <row r="974" customHeight="1" spans="1:5">
      <c r="A974" s="4">
        <v>972</v>
      </c>
      <c r="B974" s="4" t="str">
        <f>"431720220811094551242156"</f>
        <v>431720220811094551242156</v>
      </c>
      <c r="C974" s="5" t="s">
        <v>10</v>
      </c>
      <c r="D974" s="4" t="str">
        <f>"陈佳佳"</f>
        <v>陈佳佳</v>
      </c>
      <c r="E974" s="4" t="str">
        <f>"女"</f>
        <v>女</v>
      </c>
    </row>
    <row r="975" customHeight="1" spans="1:5">
      <c r="A975" s="4">
        <v>973</v>
      </c>
      <c r="B975" s="4" t="str">
        <f>"431720220811141835242944"</f>
        <v>431720220811141835242944</v>
      </c>
      <c r="C975" s="5" t="s">
        <v>10</v>
      </c>
      <c r="D975" s="4" t="str">
        <f>"李荣兴"</f>
        <v>李荣兴</v>
      </c>
      <c r="E975" s="4" t="str">
        <f t="shared" ref="E975:E978" si="74">"男"</f>
        <v>男</v>
      </c>
    </row>
    <row r="976" customHeight="1" spans="1:5">
      <c r="A976" s="4">
        <v>974</v>
      </c>
      <c r="B976" s="4" t="str">
        <f>"431720220811163851243393"</f>
        <v>431720220811163851243393</v>
      </c>
      <c r="C976" s="5" t="s">
        <v>10</v>
      </c>
      <c r="D976" s="4" t="str">
        <f>"林明宇"</f>
        <v>林明宇</v>
      </c>
      <c r="E976" s="4" t="str">
        <f t="shared" si="74"/>
        <v>男</v>
      </c>
    </row>
    <row r="977" customHeight="1" spans="1:5">
      <c r="A977" s="4">
        <v>975</v>
      </c>
      <c r="B977" s="4" t="str">
        <f>"431720220811165718243443"</f>
        <v>431720220811165718243443</v>
      </c>
      <c r="C977" s="5" t="s">
        <v>10</v>
      </c>
      <c r="D977" s="4" t="str">
        <f>"洪德大"</f>
        <v>洪德大</v>
      </c>
      <c r="E977" s="4" t="str">
        <f t="shared" si="74"/>
        <v>男</v>
      </c>
    </row>
    <row r="978" customHeight="1" spans="1:5">
      <c r="A978" s="4">
        <v>976</v>
      </c>
      <c r="B978" s="4" t="str">
        <f>"431720220811175754243527"</f>
        <v>431720220811175754243527</v>
      </c>
      <c r="C978" s="5" t="s">
        <v>10</v>
      </c>
      <c r="D978" s="4" t="str">
        <f>"张昌锋"</f>
        <v>张昌锋</v>
      </c>
      <c r="E978" s="4" t="str">
        <f t="shared" si="74"/>
        <v>男</v>
      </c>
    </row>
    <row r="979" customHeight="1" spans="1:5">
      <c r="A979" s="4">
        <v>977</v>
      </c>
      <c r="B979" s="4" t="str">
        <f>"431720220811185944243559"</f>
        <v>431720220811185944243559</v>
      </c>
      <c r="C979" s="5" t="s">
        <v>10</v>
      </c>
      <c r="D979" s="4" t="str">
        <f>"庞佳佳"</f>
        <v>庞佳佳</v>
      </c>
      <c r="E979" s="4" t="str">
        <f>"女"</f>
        <v>女</v>
      </c>
    </row>
    <row r="980" customHeight="1" spans="1:5">
      <c r="A980" s="4">
        <v>978</v>
      </c>
      <c r="B980" s="4" t="str">
        <f>"431720220811201420243601"</f>
        <v>431720220811201420243601</v>
      </c>
      <c r="C980" s="5" t="s">
        <v>10</v>
      </c>
      <c r="D980" s="4" t="str">
        <f>"何三女"</f>
        <v>何三女</v>
      </c>
      <c r="E980" s="4" t="str">
        <f>"女"</f>
        <v>女</v>
      </c>
    </row>
    <row r="981" customHeight="1" spans="1:5">
      <c r="A981" s="4">
        <v>979</v>
      </c>
      <c r="B981" s="4" t="str">
        <f>"431720220812090430243829"</f>
        <v>431720220812090430243829</v>
      </c>
      <c r="C981" s="5" t="s">
        <v>10</v>
      </c>
      <c r="D981" s="4" t="str">
        <f>"杨壮毅"</f>
        <v>杨壮毅</v>
      </c>
      <c r="E981" s="4" t="str">
        <f t="shared" ref="E981:E986" si="75">"男"</f>
        <v>男</v>
      </c>
    </row>
    <row r="982" customHeight="1" spans="1:5">
      <c r="A982" s="4">
        <v>980</v>
      </c>
      <c r="B982" s="4" t="str">
        <f>"431720220812091836243852"</f>
        <v>431720220812091836243852</v>
      </c>
      <c r="C982" s="5" t="s">
        <v>10</v>
      </c>
      <c r="D982" s="4" t="str">
        <f>"王国伟"</f>
        <v>王国伟</v>
      </c>
      <c r="E982" s="4" t="str">
        <f t="shared" si="75"/>
        <v>男</v>
      </c>
    </row>
    <row r="983" customHeight="1" spans="1:5">
      <c r="A983" s="4">
        <v>981</v>
      </c>
      <c r="B983" s="4" t="str">
        <f>"431720220812105539244050"</f>
        <v>431720220812105539244050</v>
      </c>
      <c r="C983" s="5" t="s">
        <v>10</v>
      </c>
      <c r="D983" s="4" t="str">
        <f>"李智泽"</f>
        <v>李智泽</v>
      </c>
      <c r="E983" s="4" t="str">
        <f t="shared" si="75"/>
        <v>男</v>
      </c>
    </row>
    <row r="984" customHeight="1" spans="1:5">
      <c r="A984" s="4">
        <v>982</v>
      </c>
      <c r="B984" s="4" t="str">
        <f>"431720220812133825244256"</f>
        <v>431720220812133825244256</v>
      </c>
      <c r="C984" s="5" t="s">
        <v>10</v>
      </c>
      <c r="D984" s="4" t="str">
        <f>"王玺"</f>
        <v>王玺</v>
      </c>
      <c r="E984" s="4" t="str">
        <f t="shared" si="75"/>
        <v>男</v>
      </c>
    </row>
    <row r="985" customHeight="1" spans="1:5">
      <c r="A985" s="4">
        <v>983</v>
      </c>
      <c r="B985" s="4" t="str">
        <f>"431720220812135033244270"</f>
        <v>431720220812135033244270</v>
      </c>
      <c r="C985" s="5" t="s">
        <v>10</v>
      </c>
      <c r="D985" s="4" t="str">
        <f>"张运仕"</f>
        <v>张运仕</v>
      </c>
      <c r="E985" s="4" t="str">
        <f t="shared" si="75"/>
        <v>男</v>
      </c>
    </row>
    <row r="986" customHeight="1" spans="1:5">
      <c r="A986" s="4">
        <v>984</v>
      </c>
      <c r="B986" s="4" t="str">
        <f>"431720220812160037244428"</f>
        <v>431720220812160037244428</v>
      </c>
      <c r="C986" s="5" t="s">
        <v>10</v>
      </c>
      <c r="D986" s="4" t="str">
        <f>"詹兴裕"</f>
        <v>詹兴裕</v>
      </c>
      <c r="E986" s="4" t="str">
        <f t="shared" si="75"/>
        <v>男</v>
      </c>
    </row>
    <row r="987" customHeight="1" spans="1:5">
      <c r="A987" s="4">
        <v>985</v>
      </c>
      <c r="B987" s="4" t="str">
        <f>"431720220806090310231187"</f>
        <v>431720220806090310231187</v>
      </c>
      <c r="C987" s="5" t="s">
        <v>11</v>
      </c>
      <c r="D987" s="4" t="str">
        <f>"陈鹤玲"</f>
        <v>陈鹤玲</v>
      </c>
      <c r="E987" s="4" t="str">
        <f t="shared" ref="E987:E990" si="76">"女"</f>
        <v>女</v>
      </c>
    </row>
    <row r="988" customHeight="1" spans="1:5">
      <c r="A988" s="4">
        <v>986</v>
      </c>
      <c r="B988" s="4" t="str">
        <f>"431720220806091537231227"</f>
        <v>431720220806091537231227</v>
      </c>
      <c r="C988" s="5" t="s">
        <v>11</v>
      </c>
      <c r="D988" s="4" t="str">
        <f>"陈一姿"</f>
        <v>陈一姿</v>
      </c>
      <c r="E988" s="4" t="str">
        <f t="shared" si="76"/>
        <v>女</v>
      </c>
    </row>
    <row r="989" customHeight="1" spans="1:5">
      <c r="A989" s="4">
        <v>987</v>
      </c>
      <c r="B989" s="4" t="str">
        <f>"431720220806093618231293"</f>
        <v>431720220806093618231293</v>
      </c>
      <c r="C989" s="5" t="s">
        <v>11</v>
      </c>
      <c r="D989" s="4" t="str">
        <f>"陈露沙"</f>
        <v>陈露沙</v>
      </c>
      <c r="E989" s="4" t="str">
        <f t="shared" si="76"/>
        <v>女</v>
      </c>
    </row>
    <row r="990" customHeight="1" spans="1:5">
      <c r="A990" s="4">
        <v>988</v>
      </c>
      <c r="B990" s="4" t="str">
        <f>"431720220806100228231386"</f>
        <v>431720220806100228231386</v>
      </c>
      <c r="C990" s="5" t="s">
        <v>11</v>
      </c>
      <c r="D990" s="4" t="str">
        <f>"王海面"</f>
        <v>王海面</v>
      </c>
      <c r="E990" s="4" t="str">
        <f t="shared" si="76"/>
        <v>女</v>
      </c>
    </row>
    <row r="991" customHeight="1" spans="1:5">
      <c r="A991" s="4">
        <v>989</v>
      </c>
      <c r="B991" s="4" t="str">
        <f>"431720220806105137231538"</f>
        <v>431720220806105137231538</v>
      </c>
      <c r="C991" s="5" t="s">
        <v>11</v>
      </c>
      <c r="D991" s="4" t="str">
        <f>"莫骄"</f>
        <v>莫骄</v>
      </c>
      <c r="E991" s="4" t="str">
        <f t="shared" ref="E991:E995" si="77">"男"</f>
        <v>男</v>
      </c>
    </row>
    <row r="992" customHeight="1" spans="1:5">
      <c r="A992" s="4">
        <v>990</v>
      </c>
      <c r="B992" s="4" t="str">
        <f>"431720220806123152231834"</f>
        <v>431720220806123152231834</v>
      </c>
      <c r="C992" s="5" t="s">
        <v>11</v>
      </c>
      <c r="D992" s="4" t="str">
        <f>"符砚欣"</f>
        <v>符砚欣</v>
      </c>
      <c r="E992" s="4" t="str">
        <f t="shared" ref="E992:E996" si="78">"女"</f>
        <v>女</v>
      </c>
    </row>
    <row r="993" customHeight="1" spans="1:5">
      <c r="A993" s="4">
        <v>991</v>
      </c>
      <c r="B993" s="4" t="str">
        <f>"431720220806133149232003"</f>
        <v>431720220806133149232003</v>
      </c>
      <c r="C993" s="5" t="s">
        <v>11</v>
      </c>
      <c r="D993" s="4" t="str">
        <f>"付连连"</f>
        <v>付连连</v>
      </c>
      <c r="E993" s="4" t="str">
        <f t="shared" si="77"/>
        <v>男</v>
      </c>
    </row>
    <row r="994" customHeight="1" spans="1:5">
      <c r="A994" s="4">
        <v>992</v>
      </c>
      <c r="B994" s="4" t="str">
        <f>"431720220806140544232073"</f>
        <v>431720220806140544232073</v>
      </c>
      <c r="C994" s="5" t="s">
        <v>11</v>
      </c>
      <c r="D994" s="4" t="str">
        <f>"林军"</f>
        <v>林军</v>
      </c>
      <c r="E994" s="4" t="str">
        <f t="shared" si="78"/>
        <v>女</v>
      </c>
    </row>
    <row r="995" customHeight="1" spans="1:5">
      <c r="A995" s="4">
        <v>993</v>
      </c>
      <c r="B995" s="4" t="str">
        <f>"431720220806172203232466"</f>
        <v>431720220806172203232466</v>
      </c>
      <c r="C995" s="5" t="s">
        <v>11</v>
      </c>
      <c r="D995" s="4" t="str">
        <f>"柯利达"</f>
        <v>柯利达</v>
      </c>
      <c r="E995" s="4" t="str">
        <f t="shared" si="77"/>
        <v>男</v>
      </c>
    </row>
    <row r="996" customHeight="1" spans="1:5">
      <c r="A996" s="4">
        <v>994</v>
      </c>
      <c r="B996" s="4" t="str">
        <f>"431720220806182543232555"</f>
        <v>431720220806182543232555</v>
      </c>
      <c r="C996" s="5" t="s">
        <v>11</v>
      </c>
      <c r="D996" s="4" t="str">
        <f>"林莹萍"</f>
        <v>林莹萍</v>
      </c>
      <c r="E996" s="4" t="str">
        <f t="shared" si="78"/>
        <v>女</v>
      </c>
    </row>
    <row r="997" customHeight="1" spans="1:5">
      <c r="A997" s="4">
        <v>995</v>
      </c>
      <c r="B997" s="4" t="str">
        <f>"431720220806192428232603"</f>
        <v>431720220806192428232603</v>
      </c>
      <c r="C997" s="5" t="s">
        <v>11</v>
      </c>
      <c r="D997" s="4" t="str">
        <f>"史克壮"</f>
        <v>史克壮</v>
      </c>
      <c r="E997" s="4" t="str">
        <f>"男"</f>
        <v>男</v>
      </c>
    </row>
    <row r="998" customHeight="1" spans="1:5">
      <c r="A998" s="4">
        <v>996</v>
      </c>
      <c r="B998" s="4" t="str">
        <f>"431720220806201811232688"</f>
        <v>431720220806201811232688</v>
      </c>
      <c r="C998" s="5" t="s">
        <v>11</v>
      </c>
      <c r="D998" s="4" t="str">
        <f>"毛馨宇"</f>
        <v>毛馨宇</v>
      </c>
      <c r="E998" s="4" t="str">
        <f t="shared" ref="E998:E1002" si="79">"女"</f>
        <v>女</v>
      </c>
    </row>
    <row r="999" customHeight="1" spans="1:5">
      <c r="A999" s="4">
        <v>997</v>
      </c>
      <c r="B999" s="4" t="str">
        <f>"431720220806212736232749"</f>
        <v>431720220806212736232749</v>
      </c>
      <c r="C999" s="5" t="s">
        <v>11</v>
      </c>
      <c r="D999" s="4" t="str">
        <f>"林奕帆"</f>
        <v>林奕帆</v>
      </c>
      <c r="E999" s="4" t="str">
        <f>"男"</f>
        <v>男</v>
      </c>
    </row>
    <row r="1000" customHeight="1" spans="1:5">
      <c r="A1000" s="4">
        <v>998</v>
      </c>
      <c r="B1000" s="4" t="str">
        <f>"431720220807114226233104"</f>
        <v>431720220807114226233104</v>
      </c>
      <c r="C1000" s="5" t="s">
        <v>11</v>
      </c>
      <c r="D1000" s="4" t="str">
        <f>"王杏"</f>
        <v>王杏</v>
      </c>
      <c r="E1000" s="4" t="str">
        <f t="shared" si="79"/>
        <v>女</v>
      </c>
    </row>
    <row r="1001" customHeight="1" spans="1:5">
      <c r="A1001" s="4">
        <v>999</v>
      </c>
      <c r="B1001" s="4" t="str">
        <f>"431720220807165348233423"</f>
        <v>431720220807165348233423</v>
      </c>
      <c r="C1001" s="5" t="s">
        <v>11</v>
      </c>
      <c r="D1001" s="4" t="str">
        <f>"韩梦妮"</f>
        <v>韩梦妮</v>
      </c>
      <c r="E1001" s="4" t="str">
        <f t="shared" si="79"/>
        <v>女</v>
      </c>
    </row>
    <row r="1002" customHeight="1" spans="1:5">
      <c r="A1002" s="4">
        <v>1000</v>
      </c>
      <c r="B1002" s="4" t="str">
        <f>"431720220807213607233600"</f>
        <v>431720220807213607233600</v>
      </c>
      <c r="C1002" s="5" t="s">
        <v>11</v>
      </c>
      <c r="D1002" s="4" t="str">
        <f>"丁鑫"</f>
        <v>丁鑫</v>
      </c>
      <c r="E1002" s="4" t="str">
        <f t="shared" si="79"/>
        <v>女</v>
      </c>
    </row>
    <row r="1003" customHeight="1" spans="1:5">
      <c r="A1003" s="4">
        <v>1001</v>
      </c>
      <c r="B1003" s="4" t="str">
        <f>"431720220808092420234168"</f>
        <v>431720220808092420234168</v>
      </c>
      <c r="C1003" s="5" t="s">
        <v>11</v>
      </c>
      <c r="D1003" s="4" t="str">
        <f>"李齐魏"</f>
        <v>李齐魏</v>
      </c>
      <c r="E1003" s="4" t="str">
        <f>"男"</f>
        <v>男</v>
      </c>
    </row>
    <row r="1004" customHeight="1" spans="1:5">
      <c r="A1004" s="4">
        <v>1002</v>
      </c>
      <c r="B1004" s="4" t="str">
        <f>"431720220808093204234243"</f>
        <v>431720220808093204234243</v>
      </c>
      <c r="C1004" s="5" t="s">
        <v>11</v>
      </c>
      <c r="D1004" s="4" t="str">
        <f>"王小薇"</f>
        <v>王小薇</v>
      </c>
      <c r="E1004" s="4" t="str">
        <f t="shared" ref="E1004:E1012" si="80">"女"</f>
        <v>女</v>
      </c>
    </row>
    <row r="1005" customHeight="1" spans="1:5">
      <c r="A1005" s="4">
        <v>1003</v>
      </c>
      <c r="B1005" s="4" t="str">
        <f>"431720220808133859235384"</f>
        <v>431720220808133859235384</v>
      </c>
      <c r="C1005" s="5" t="s">
        <v>11</v>
      </c>
      <c r="D1005" s="4" t="str">
        <f>"邓传慧"</f>
        <v>邓传慧</v>
      </c>
      <c r="E1005" s="4" t="str">
        <f t="shared" si="80"/>
        <v>女</v>
      </c>
    </row>
    <row r="1006" customHeight="1" spans="1:5">
      <c r="A1006" s="4">
        <v>1004</v>
      </c>
      <c r="B1006" s="4" t="str">
        <f>"431720220808164042235929"</f>
        <v>431720220808164042235929</v>
      </c>
      <c r="C1006" s="5" t="s">
        <v>11</v>
      </c>
      <c r="D1006" s="4" t="str">
        <f>"肖海晶"</f>
        <v>肖海晶</v>
      </c>
      <c r="E1006" s="4" t="str">
        <f t="shared" si="80"/>
        <v>女</v>
      </c>
    </row>
    <row r="1007" customHeight="1" spans="1:5">
      <c r="A1007" s="4">
        <v>1005</v>
      </c>
      <c r="B1007" s="4" t="str">
        <f>"431720220808212358236684"</f>
        <v>431720220808212358236684</v>
      </c>
      <c r="C1007" s="5" t="s">
        <v>11</v>
      </c>
      <c r="D1007" s="4" t="str">
        <f>"符钰欣"</f>
        <v>符钰欣</v>
      </c>
      <c r="E1007" s="4" t="str">
        <f t="shared" si="80"/>
        <v>女</v>
      </c>
    </row>
    <row r="1008" customHeight="1" spans="1:5">
      <c r="A1008" s="4">
        <v>1006</v>
      </c>
      <c r="B1008" s="4" t="str">
        <f>"431720220810011040239194"</f>
        <v>431720220810011040239194</v>
      </c>
      <c r="C1008" s="5" t="s">
        <v>11</v>
      </c>
      <c r="D1008" s="4" t="str">
        <f>"符奇玲"</f>
        <v>符奇玲</v>
      </c>
      <c r="E1008" s="4" t="str">
        <f t="shared" si="80"/>
        <v>女</v>
      </c>
    </row>
    <row r="1009" customHeight="1" spans="1:5">
      <c r="A1009" s="4">
        <v>1007</v>
      </c>
      <c r="B1009" s="4" t="str">
        <f>"431720220810142941240353"</f>
        <v>431720220810142941240353</v>
      </c>
      <c r="C1009" s="5" t="s">
        <v>11</v>
      </c>
      <c r="D1009" s="4" t="str">
        <f>"陈太汝"</f>
        <v>陈太汝</v>
      </c>
      <c r="E1009" s="4" t="str">
        <f t="shared" si="80"/>
        <v>女</v>
      </c>
    </row>
    <row r="1010" customHeight="1" spans="1:5">
      <c r="A1010" s="4">
        <v>1008</v>
      </c>
      <c r="B1010" s="4" t="str">
        <f>"431720220810183957241075"</f>
        <v>431720220810183957241075</v>
      </c>
      <c r="C1010" s="5" t="s">
        <v>11</v>
      </c>
      <c r="D1010" s="4" t="str">
        <f>"朱巧娟"</f>
        <v>朱巧娟</v>
      </c>
      <c r="E1010" s="4" t="str">
        <f t="shared" si="80"/>
        <v>女</v>
      </c>
    </row>
    <row r="1011" customHeight="1" spans="1:5">
      <c r="A1011" s="4">
        <v>1009</v>
      </c>
      <c r="B1011" s="4" t="str">
        <f>"431720220810215954241562"</f>
        <v>431720220810215954241562</v>
      </c>
      <c r="C1011" s="5" t="s">
        <v>11</v>
      </c>
      <c r="D1011" s="4" t="str">
        <f>"周璇"</f>
        <v>周璇</v>
      </c>
      <c r="E1011" s="4" t="str">
        <f t="shared" si="80"/>
        <v>女</v>
      </c>
    </row>
    <row r="1012" customHeight="1" spans="1:5">
      <c r="A1012" s="4">
        <v>1010</v>
      </c>
      <c r="B1012" s="4" t="str">
        <f>"431720220810222349241618"</f>
        <v>431720220810222349241618</v>
      </c>
      <c r="C1012" s="5" t="s">
        <v>11</v>
      </c>
      <c r="D1012" s="4" t="str">
        <f>"陈玲"</f>
        <v>陈玲</v>
      </c>
      <c r="E1012" s="4" t="str">
        <f t="shared" si="80"/>
        <v>女</v>
      </c>
    </row>
    <row r="1013" customHeight="1" spans="1:5">
      <c r="A1013" s="4">
        <v>1011</v>
      </c>
      <c r="B1013" s="4" t="str">
        <f>"431720220810231735241714"</f>
        <v>431720220810231735241714</v>
      </c>
      <c r="C1013" s="5" t="s">
        <v>11</v>
      </c>
      <c r="D1013" s="4" t="str">
        <f>"何江"</f>
        <v>何江</v>
      </c>
      <c r="E1013" s="4" t="str">
        <f t="shared" ref="E1013:E1016" si="81">"男"</f>
        <v>男</v>
      </c>
    </row>
    <row r="1014" customHeight="1" spans="1:5">
      <c r="A1014" s="4">
        <v>1012</v>
      </c>
      <c r="B1014" s="4" t="str">
        <f>"431720220811170846243476"</f>
        <v>431720220811170846243476</v>
      </c>
      <c r="C1014" s="5" t="s">
        <v>11</v>
      </c>
      <c r="D1014" s="4" t="str">
        <f>"黄千淇"</f>
        <v>黄千淇</v>
      </c>
      <c r="E1014" s="4" t="str">
        <f t="shared" ref="E1014:E1019" si="82">"女"</f>
        <v>女</v>
      </c>
    </row>
    <row r="1015" customHeight="1" spans="1:5">
      <c r="A1015" s="4">
        <v>1013</v>
      </c>
      <c r="B1015" s="4" t="str">
        <f>"431720220811221732243673"</f>
        <v>431720220811221732243673</v>
      </c>
      <c r="C1015" s="5" t="s">
        <v>11</v>
      </c>
      <c r="D1015" s="4" t="str">
        <f>"孙浩冬"</f>
        <v>孙浩冬</v>
      </c>
      <c r="E1015" s="4" t="str">
        <f t="shared" si="81"/>
        <v>男</v>
      </c>
    </row>
    <row r="1016" customHeight="1" spans="1:5">
      <c r="A1016" s="4">
        <v>1014</v>
      </c>
      <c r="B1016" s="4" t="str">
        <f>"431720220811224222243694"</f>
        <v>431720220811224222243694</v>
      </c>
      <c r="C1016" s="5" t="s">
        <v>11</v>
      </c>
      <c r="D1016" s="4" t="str">
        <f>"王书棐"</f>
        <v>王书棐</v>
      </c>
      <c r="E1016" s="4" t="str">
        <f t="shared" si="81"/>
        <v>男</v>
      </c>
    </row>
    <row r="1017" customHeight="1" spans="1:5">
      <c r="A1017" s="4">
        <v>1015</v>
      </c>
      <c r="B1017" s="4" t="str">
        <f>"431720220811225940243703"</f>
        <v>431720220811225940243703</v>
      </c>
      <c r="C1017" s="5" t="s">
        <v>11</v>
      </c>
      <c r="D1017" s="4" t="str">
        <f>"梁琼雅"</f>
        <v>梁琼雅</v>
      </c>
      <c r="E1017" s="4" t="str">
        <f t="shared" si="82"/>
        <v>女</v>
      </c>
    </row>
    <row r="1018" customHeight="1" spans="1:5">
      <c r="A1018" s="4">
        <v>1016</v>
      </c>
      <c r="B1018" s="4" t="str">
        <f>"431720220812002549243747"</f>
        <v>431720220812002549243747</v>
      </c>
      <c r="C1018" s="5" t="s">
        <v>11</v>
      </c>
      <c r="D1018" s="4" t="str">
        <f>"刘俏玲"</f>
        <v>刘俏玲</v>
      </c>
      <c r="E1018" s="4" t="str">
        <f t="shared" si="82"/>
        <v>女</v>
      </c>
    </row>
    <row r="1019" customHeight="1" spans="1:5">
      <c r="A1019" s="4">
        <v>1017</v>
      </c>
      <c r="B1019" s="4" t="str">
        <f>"431720220812094208243892"</f>
        <v>431720220812094208243892</v>
      </c>
      <c r="C1019" s="5" t="s">
        <v>11</v>
      </c>
      <c r="D1019" s="4" t="str">
        <f>"齐玲"</f>
        <v>齐玲</v>
      </c>
      <c r="E1019" s="4" t="str">
        <f t="shared" si="82"/>
        <v>女</v>
      </c>
    </row>
    <row r="1020" customHeight="1" spans="1:5">
      <c r="A1020" s="4">
        <v>1018</v>
      </c>
      <c r="B1020" s="4" t="str">
        <f>"431720220812103611243998"</f>
        <v>431720220812103611243998</v>
      </c>
      <c r="C1020" s="5" t="s">
        <v>11</v>
      </c>
      <c r="D1020" s="4" t="str">
        <f>"吴全珍"</f>
        <v>吴全珍</v>
      </c>
      <c r="E1020" s="4" t="str">
        <f>"男"</f>
        <v>男</v>
      </c>
    </row>
    <row r="1021" customHeight="1" spans="1:5">
      <c r="A1021" s="4">
        <v>1019</v>
      </c>
      <c r="B1021" s="4" t="str">
        <f>"431720220806121225231787"</f>
        <v>431720220806121225231787</v>
      </c>
      <c r="C1021" s="5" t="s">
        <v>12</v>
      </c>
      <c r="D1021" s="4" t="str">
        <f>"李紫媛"</f>
        <v>李紫媛</v>
      </c>
      <c r="E1021" s="4" t="str">
        <f t="shared" ref="E1021:E1041" si="83">"女"</f>
        <v>女</v>
      </c>
    </row>
    <row r="1022" customHeight="1" spans="1:5">
      <c r="A1022" s="4">
        <v>1020</v>
      </c>
      <c r="B1022" s="4" t="str">
        <f>"431720220806123431231843"</f>
        <v>431720220806123431231843</v>
      </c>
      <c r="C1022" s="5" t="s">
        <v>12</v>
      </c>
      <c r="D1022" s="4" t="str">
        <f>"赵桐"</f>
        <v>赵桐</v>
      </c>
      <c r="E1022" s="4" t="str">
        <f t="shared" si="83"/>
        <v>女</v>
      </c>
    </row>
    <row r="1023" customHeight="1" spans="1:5">
      <c r="A1023" s="4">
        <v>1021</v>
      </c>
      <c r="B1023" s="4" t="str">
        <f>"431720220806125937231918"</f>
        <v>431720220806125937231918</v>
      </c>
      <c r="C1023" s="5" t="s">
        <v>12</v>
      </c>
      <c r="D1023" s="4" t="str">
        <f>"符杰贤"</f>
        <v>符杰贤</v>
      </c>
      <c r="E1023" s="4" t="str">
        <f>"男"</f>
        <v>男</v>
      </c>
    </row>
    <row r="1024" customHeight="1" spans="1:5">
      <c r="A1024" s="4">
        <v>1022</v>
      </c>
      <c r="B1024" s="4" t="str">
        <f>"431720220806132120231976"</f>
        <v>431720220806132120231976</v>
      </c>
      <c r="C1024" s="5" t="s">
        <v>12</v>
      </c>
      <c r="D1024" s="4" t="str">
        <f>"郑春花"</f>
        <v>郑春花</v>
      </c>
      <c r="E1024" s="4" t="str">
        <f t="shared" si="83"/>
        <v>女</v>
      </c>
    </row>
    <row r="1025" customHeight="1" spans="1:5">
      <c r="A1025" s="4">
        <v>1023</v>
      </c>
      <c r="B1025" s="4" t="str">
        <f>"431720220806144227232143"</f>
        <v>431720220806144227232143</v>
      </c>
      <c r="C1025" s="5" t="s">
        <v>12</v>
      </c>
      <c r="D1025" s="4" t="str">
        <f>"林铭晶"</f>
        <v>林铭晶</v>
      </c>
      <c r="E1025" s="4" t="str">
        <f t="shared" si="83"/>
        <v>女</v>
      </c>
    </row>
    <row r="1026" customHeight="1" spans="1:5">
      <c r="A1026" s="4">
        <v>1024</v>
      </c>
      <c r="B1026" s="4" t="str">
        <f>"431720220806160137232302"</f>
        <v>431720220806160137232302</v>
      </c>
      <c r="C1026" s="5" t="s">
        <v>12</v>
      </c>
      <c r="D1026" s="4" t="str">
        <f>"苏文玲"</f>
        <v>苏文玲</v>
      </c>
      <c r="E1026" s="4" t="str">
        <f t="shared" si="83"/>
        <v>女</v>
      </c>
    </row>
    <row r="1027" customHeight="1" spans="1:5">
      <c r="A1027" s="4">
        <v>1025</v>
      </c>
      <c r="B1027" s="4" t="str">
        <f>"431720220806161936232339"</f>
        <v>431720220806161936232339</v>
      </c>
      <c r="C1027" s="5" t="s">
        <v>12</v>
      </c>
      <c r="D1027" s="4" t="str">
        <f>"秦美玲"</f>
        <v>秦美玲</v>
      </c>
      <c r="E1027" s="4" t="str">
        <f t="shared" si="83"/>
        <v>女</v>
      </c>
    </row>
    <row r="1028" customHeight="1" spans="1:5">
      <c r="A1028" s="4">
        <v>1026</v>
      </c>
      <c r="B1028" s="4" t="str">
        <f>"431720220806175551232524"</f>
        <v>431720220806175551232524</v>
      </c>
      <c r="C1028" s="5" t="s">
        <v>12</v>
      </c>
      <c r="D1028" s="4" t="str">
        <f>"甘露"</f>
        <v>甘露</v>
      </c>
      <c r="E1028" s="4" t="str">
        <f t="shared" si="83"/>
        <v>女</v>
      </c>
    </row>
    <row r="1029" customHeight="1" spans="1:5">
      <c r="A1029" s="4">
        <v>1027</v>
      </c>
      <c r="B1029" s="4" t="str">
        <f>"431720220806194628232640"</f>
        <v>431720220806194628232640</v>
      </c>
      <c r="C1029" s="5" t="s">
        <v>12</v>
      </c>
      <c r="D1029" s="4" t="str">
        <f>"吴飞飞"</f>
        <v>吴飞飞</v>
      </c>
      <c r="E1029" s="4" t="str">
        <f t="shared" si="83"/>
        <v>女</v>
      </c>
    </row>
    <row r="1030" customHeight="1" spans="1:5">
      <c r="A1030" s="4">
        <v>1028</v>
      </c>
      <c r="B1030" s="4" t="str">
        <f>"431720220806201202232675"</f>
        <v>431720220806201202232675</v>
      </c>
      <c r="C1030" s="5" t="s">
        <v>12</v>
      </c>
      <c r="D1030" s="4" t="str">
        <f>"陈民丽"</f>
        <v>陈民丽</v>
      </c>
      <c r="E1030" s="4" t="str">
        <f t="shared" si="83"/>
        <v>女</v>
      </c>
    </row>
    <row r="1031" customHeight="1" spans="1:5">
      <c r="A1031" s="4">
        <v>1029</v>
      </c>
      <c r="B1031" s="4" t="str">
        <f>"431720220806220808232795"</f>
        <v>431720220806220808232795</v>
      </c>
      <c r="C1031" s="5" t="s">
        <v>12</v>
      </c>
      <c r="D1031" s="4" t="str">
        <f>"王红钰"</f>
        <v>王红钰</v>
      </c>
      <c r="E1031" s="4" t="str">
        <f t="shared" si="83"/>
        <v>女</v>
      </c>
    </row>
    <row r="1032" customHeight="1" spans="1:5">
      <c r="A1032" s="4">
        <v>1030</v>
      </c>
      <c r="B1032" s="4" t="str">
        <f>"431720220806221549232802"</f>
        <v>431720220806221549232802</v>
      </c>
      <c r="C1032" s="5" t="s">
        <v>12</v>
      </c>
      <c r="D1032" s="4" t="str">
        <f>"董慧娟"</f>
        <v>董慧娟</v>
      </c>
      <c r="E1032" s="4" t="str">
        <f t="shared" si="83"/>
        <v>女</v>
      </c>
    </row>
    <row r="1033" customHeight="1" spans="1:5">
      <c r="A1033" s="4">
        <v>1031</v>
      </c>
      <c r="B1033" s="4" t="str">
        <f>"431720220806230436232836"</f>
        <v>431720220806230436232836</v>
      </c>
      <c r="C1033" s="5" t="s">
        <v>12</v>
      </c>
      <c r="D1033" s="4" t="str">
        <f>"郭晓玲"</f>
        <v>郭晓玲</v>
      </c>
      <c r="E1033" s="4" t="str">
        <f t="shared" si="83"/>
        <v>女</v>
      </c>
    </row>
    <row r="1034" customHeight="1" spans="1:5">
      <c r="A1034" s="4">
        <v>1032</v>
      </c>
      <c r="B1034" s="4" t="str">
        <f>"431720220807093242232968"</f>
        <v>431720220807093242232968</v>
      </c>
      <c r="C1034" s="5" t="s">
        <v>12</v>
      </c>
      <c r="D1034" s="4" t="str">
        <f>"林芳如"</f>
        <v>林芳如</v>
      </c>
      <c r="E1034" s="4" t="str">
        <f t="shared" si="83"/>
        <v>女</v>
      </c>
    </row>
    <row r="1035" customHeight="1" spans="1:5">
      <c r="A1035" s="4">
        <v>1033</v>
      </c>
      <c r="B1035" s="4" t="str">
        <f>"431720220807095528232995"</f>
        <v>431720220807095528232995</v>
      </c>
      <c r="C1035" s="5" t="s">
        <v>12</v>
      </c>
      <c r="D1035" s="4" t="str">
        <f>"洪丽比"</f>
        <v>洪丽比</v>
      </c>
      <c r="E1035" s="4" t="str">
        <f t="shared" si="83"/>
        <v>女</v>
      </c>
    </row>
    <row r="1036" customHeight="1" spans="1:5">
      <c r="A1036" s="4">
        <v>1034</v>
      </c>
      <c r="B1036" s="4" t="str">
        <f>"431720220807103930233046"</f>
        <v>431720220807103930233046</v>
      </c>
      <c r="C1036" s="5" t="s">
        <v>12</v>
      </c>
      <c r="D1036" s="4" t="str">
        <f>"王启秀"</f>
        <v>王启秀</v>
      </c>
      <c r="E1036" s="4" t="str">
        <f t="shared" si="83"/>
        <v>女</v>
      </c>
    </row>
    <row r="1037" customHeight="1" spans="1:5">
      <c r="A1037" s="4">
        <v>1035</v>
      </c>
      <c r="B1037" s="4" t="str">
        <f>"431720220807180343233483"</f>
        <v>431720220807180343233483</v>
      </c>
      <c r="C1037" s="5" t="s">
        <v>12</v>
      </c>
      <c r="D1037" s="4" t="str">
        <f>"周慧颖"</f>
        <v>周慧颖</v>
      </c>
      <c r="E1037" s="4" t="str">
        <f t="shared" si="83"/>
        <v>女</v>
      </c>
    </row>
    <row r="1038" customHeight="1" spans="1:5">
      <c r="A1038" s="4">
        <v>1036</v>
      </c>
      <c r="B1038" s="4" t="str">
        <f>"431720220807192005233520"</f>
        <v>431720220807192005233520</v>
      </c>
      <c r="C1038" s="5" t="s">
        <v>12</v>
      </c>
      <c r="D1038" s="4" t="str">
        <f>"洪小冰"</f>
        <v>洪小冰</v>
      </c>
      <c r="E1038" s="4" t="str">
        <f t="shared" si="83"/>
        <v>女</v>
      </c>
    </row>
    <row r="1039" customHeight="1" spans="1:5">
      <c r="A1039" s="4">
        <v>1037</v>
      </c>
      <c r="B1039" s="4" t="str">
        <f>"431720220807195645233536"</f>
        <v>431720220807195645233536</v>
      </c>
      <c r="C1039" s="5" t="s">
        <v>12</v>
      </c>
      <c r="D1039" s="4" t="str">
        <f>"陈婆转"</f>
        <v>陈婆转</v>
      </c>
      <c r="E1039" s="4" t="str">
        <f t="shared" si="83"/>
        <v>女</v>
      </c>
    </row>
    <row r="1040" customHeight="1" spans="1:5">
      <c r="A1040" s="4">
        <v>1038</v>
      </c>
      <c r="B1040" s="4" t="str">
        <f>"431720220807203120233562"</f>
        <v>431720220807203120233562</v>
      </c>
      <c r="C1040" s="5" t="s">
        <v>12</v>
      </c>
      <c r="D1040" s="4" t="str">
        <f>"苏静"</f>
        <v>苏静</v>
      </c>
      <c r="E1040" s="4" t="str">
        <f t="shared" si="83"/>
        <v>女</v>
      </c>
    </row>
    <row r="1041" customHeight="1" spans="1:5">
      <c r="A1041" s="4">
        <v>1039</v>
      </c>
      <c r="B1041" s="4" t="str">
        <f>"431720220807214450233607"</f>
        <v>431720220807214450233607</v>
      </c>
      <c r="C1041" s="5" t="s">
        <v>12</v>
      </c>
      <c r="D1041" s="4" t="str">
        <f>"韦荟滢"</f>
        <v>韦荟滢</v>
      </c>
      <c r="E1041" s="4" t="str">
        <f t="shared" si="83"/>
        <v>女</v>
      </c>
    </row>
    <row r="1042" customHeight="1" spans="1:5">
      <c r="A1042" s="4">
        <v>1040</v>
      </c>
      <c r="B1042" s="4" t="str">
        <f>"431720220807214650233611"</f>
        <v>431720220807214650233611</v>
      </c>
      <c r="C1042" s="5" t="s">
        <v>12</v>
      </c>
      <c r="D1042" s="4" t="str">
        <f>"黄余童"</f>
        <v>黄余童</v>
      </c>
      <c r="E1042" s="4" t="str">
        <f>"男"</f>
        <v>男</v>
      </c>
    </row>
    <row r="1043" customHeight="1" spans="1:5">
      <c r="A1043" s="4">
        <v>1041</v>
      </c>
      <c r="B1043" s="4" t="str">
        <f>"431720220807234737233671"</f>
        <v>431720220807234737233671</v>
      </c>
      <c r="C1043" s="5" t="s">
        <v>12</v>
      </c>
      <c r="D1043" s="4" t="str">
        <f>"王不够"</f>
        <v>王不够</v>
      </c>
      <c r="E1043" s="4" t="str">
        <f t="shared" ref="E1043:E1048" si="84">"女"</f>
        <v>女</v>
      </c>
    </row>
    <row r="1044" customHeight="1" spans="1:5">
      <c r="A1044" s="4">
        <v>1042</v>
      </c>
      <c r="B1044" s="4" t="str">
        <f>"431720220808184356236283"</f>
        <v>431720220808184356236283</v>
      </c>
      <c r="C1044" s="5" t="s">
        <v>12</v>
      </c>
      <c r="D1044" s="4" t="str">
        <f>"许健"</f>
        <v>许健</v>
      </c>
      <c r="E1044" s="4" t="str">
        <f t="shared" si="84"/>
        <v>女</v>
      </c>
    </row>
    <row r="1045" customHeight="1" spans="1:5">
      <c r="A1045" s="4">
        <v>1043</v>
      </c>
      <c r="B1045" s="4" t="str">
        <f>"431720220808203300236554"</f>
        <v>431720220808203300236554</v>
      </c>
      <c r="C1045" s="5" t="s">
        <v>12</v>
      </c>
      <c r="D1045" s="4" t="str">
        <f>"陈丽萍"</f>
        <v>陈丽萍</v>
      </c>
      <c r="E1045" s="4" t="str">
        <f t="shared" si="84"/>
        <v>女</v>
      </c>
    </row>
    <row r="1046" customHeight="1" spans="1:5">
      <c r="A1046" s="4">
        <v>1044</v>
      </c>
      <c r="B1046" s="4" t="str">
        <f>"431720220808215327236767"</f>
        <v>431720220808215327236767</v>
      </c>
      <c r="C1046" s="5" t="s">
        <v>12</v>
      </c>
      <c r="D1046" s="4" t="str">
        <f>"黎俊希"</f>
        <v>黎俊希</v>
      </c>
      <c r="E1046" s="4" t="str">
        <f t="shared" si="84"/>
        <v>女</v>
      </c>
    </row>
    <row r="1047" customHeight="1" spans="1:5">
      <c r="A1047" s="4">
        <v>1045</v>
      </c>
      <c r="B1047" s="4" t="str">
        <f>"431720220808224352236869"</f>
        <v>431720220808224352236869</v>
      </c>
      <c r="C1047" s="5" t="s">
        <v>12</v>
      </c>
      <c r="D1047" s="4" t="str">
        <f>"曾燕"</f>
        <v>曾燕</v>
      </c>
      <c r="E1047" s="4" t="str">
        <f t="shared" si="84"/>
        <v>女</v>
      </c>
    </row>
    <row r="1048" customHeight="1" spans="1:5">
      <c r="A1048" s="4">
        <v>1046</v>
      </c>
      <c r="B1048" s="4" t="str">
        <f>"431720220809152341238169"</f>
        <v>431720220809152341238169</v>
      </c>
      <c r="C1048" s="5" t="s">
        <v>12</v>
      </c>
      <c r="D1048" s="4" t="str">
        <f>"王秀玲"</f>
        <v>王秀玲</v>
      </c>
      <c r="E1048" s="4" t="str">
        <f t="shared" si="84"/>
        <v>女</v>
      </c>
    </row>
    <row r="1049" customHeight="1" spans="1:5">
      <c r="A1049" s="4">
        <v>1047</v>
      </c>
      <c r="B1049" s="4" t="str">
        <f>"431720220810032835239206"</f>
        <v>431720220810032835239206</v>
      </c>
      <c r="C1049" s="5" t="s">
        <v>12</v>
      </c>
      <c r="D1049" s="4" t="str">
        <f>"张艺"</f>
        <v>张艺</v>
      </c>
      <c r="E1049" s="4" t="str">
        <f>"男"</f>
        <v>男</v>
      </c>
    </row>
    <row r="1050" customHeight="1" spans="1:5">
      <c r="A1050" s="4">
        <v>1048</v>
      </c>
      <c r="B1050" s="4" t="str">
        <f>"431720220810115128239990"</f>
        <v>431720220810115128239990</v>
      </c>
      <c r="C1050" s="5" t="s">
        <v>12</v>
      </c>
      <c r="D1050" s="4" t="str">
        <f>"刘张忠"</f>
        <v>刘张忠</v>
      </c>
      <c r="E1050" s="4" t="str">
        <f>"男"</f>
        <v>男</v>
      </c>
    </row>
    <row r="1051" customHeight="1" spans="1:5">
      <c r="A1051" s="4">
        <v>1049</v>
      </c>
      <c r="B1051" s="4" t="str">
        <f>"431720220810154509240606"</f>
        <v>431720220810154509240606</v>
      </c>
      <c r="C1051" s="5" t="s">
        <v>12</v>
      </c>
      <c r="D1051" s="4" t="str">
        <f>"刘圣妃"</f>
        <v>刘圣妃</v>
      </c>
      <c r="E1051" s="4" t="str">
        <f t="shared" ref="E1051:E1080" si="85">"女"</f>
        <v>女</v>
      </c>
    </row>
    <row r="1052" customHeight="1" spans="1:5">
      <c r="A1052" s="4">
        <v>1050</v>
      </c>
      <c r="B1052" s="4" t="str">
        <f>"431720220810191723241164"</f>
        <v>431720220810191723241164</v>
      </c>
      <c r="C1052" s="5" t="s">
        <v>12</v>
      </c>
      <c r="D1052" s="4" t="str">
        <f>"陈子倩"</f>
        <v>陈子倩</v>
      </c>
      <c r="E1052" s="4" t="str">
        <f t="shared" si="85"/>
        <v>女</v>
      </c>
    </row>
    <row r="1053" customHeight="1" spans="1:5">
      <c r="A1053" s="4">
        <v>1051</v>
      </c>
      <c r="B1053" s="4" t="str">
        <f>"431720220810204538241364"</f>
        <v>431720220810204538241364</v>
      </c>
      <c r="C1053" s="5" t="s">
        <v>12</v>
      </c>
      <c r="D1053" s="4" t="str">
        <f>"陈未"</f>
        <v>陈未</v>
      </c>
      <c r="E1053" s="4" t="str">
        <f t="shared" si="85"/>
        <v>女</v>
      </c>
    </row>
    <row r="1054" customHeight="1" spans="1:5">
      <c r="A1054" s="4">
        <v>1052</v>
      </c>
      <c r="B1054" s="4" t="str">
        <f>"431720220810234051241743"</f>
        <v>431720220810234051241743</v>
      </c>
      <c r="C1054" s="5" t="s">
        <v>12</v>
      </c>
      <c r="D1054" s="4" t="str">
        <f>"何文文"</f>
        <v>何文文</v>
      </c>
      <c r="E1054" s="4" t="str">
        <f t="shared" si="85"/>
        <v>女</v>
      </c>
    </row>
    <row r="1055" customHeight="1" spans="1:5">
      <c r="A1055" s="4">
        <v>1053</v>
      </c>
      <c r="B1055" s="4" t="str">
        <f>"431720220811045351241808"</f>
        <v>431720220811045351241808</v>
      </c>
      <c r="C1055" s="5" t="s">
        <v>12</v>
      </c>
      <c r="D1055" s="4" t="str">
        <f>"马敏敏"</f>
        <v>马敏敏</v>
      </c>
      <c r="E1055" s="4" t="str">
        <f t="shared" si="85"/>
        <v>女</v>
      </c>
    </row>
    <row r="1056" customHeight="1" spans="1:5">
      <c r="A1056" s="4">
        <v>1054</v>
      </c>
      <c r="B1056" s="4" t="str">
        <f>"431720220811094445242148"</f>
        <v>431720220811094445242148</v>
      </c>
      <c r="C1056" s="5" t="s">
        <v>12</v>
      </c>
      <c r="D1056" s="4" t="str">
        <f>"冯丽娟"</f>
        <v>冯丽娟</v>
      </c>
      <c r="E1056" s="4" t="str">
        <f t="shared" si="85"/>
        <v>女</v>
      </c>
    </row>
    <row r="1057" customHeight="1" spans="1:5">
      <c r="A1057" s="4">
        <v>1055</v>
      </c>
      <c r="B1057" s="4" t="str">
        <f>"431720220811094925242167"</f>
        <v>431720220811094925242167</v>
      </c>
      <c r="C1057" s="5" t="s">
        <v>12</v>
      </c>
      <c r="D1057" s="4" t="str">
        <f>"何生月"</f>
        <v>何生月</v>
      </c>
      <c r="E1057" s="4" t="str">
        <f t="shared" si="85"/>
        <v>女</v>
      </c>
    </row>
    <row r="1058" customHeight="1" spans="1:5">
      <c r="A1058" s="4">
        <v>1056</v>
      </c>
      <c r="B1058" s="4" t="str">
        <f>"431720220811111744242462"</f>
        <v>431720220811111744242462</v>
      </c>
      <c r="C1058" s="5" t="s">
        <v>12</v>
      </c>
      <c r="D1058" s="4" t="str">
        <f>"何明洲"</f>
        <v>何明洲</v>
      </c>
      <c r="E1058" s="4" t="str">
        <f t="shared" si="85"/>
        <v>女</v>
      </c>
    </row>
    <row r="1059" customHeight="1" spans="1:5">
      <c r="A1059" s="4">
        <v>1057</v>
      </c>
      <c r="B1059" s="4" t="str">
        <f>"431720220811112048242473"</f>
        <v>431720220811112048242473</v>
      </c>
      <c r="C1059" s="5" t="s">
        <v>12</v>
      </c>
      <c r="D1059" s="4" t="str">
        <f>"钟荣娜"</f>
        <v>钟荣娜</v>
      </c>
      <c r="E1059" s="4" t="str">
        <f t="shared" si="85"/>
        <v>女</v>
      </c>
    </row>
    <row r="1060" customHeight="1" spans="1:5">
      <c r="A1060" s="4">
        <v>1058</v>
      </c>
      <c r="B1060" s="4" t="str">
        <f>"431720220811123553242682"</f>
        <v>431720220811123553242682</v>
      </c>
      <c r="C1060" s="5" t="s">
        <v>12</v>
      </c>
      <c r="D1060" s="4" t="str">
        <f>"毛冬梅"</f>
        <v>毛冬梅</v>
      </c>
      <c r="E1060" s="4" t="str">
        <f t="shared" si="85"/>
        <v>女</v>
      </c>
    </row>
    <row r="1061" customHeight="1" spans="1:5">
      <c r="A1061" s="4">
        <v>1059</v>
      </c>
      <c r="B1061" s="4" t="str">
        <f>"431720220811140316242904"</f>
        <v>431720220811140316242904</v>
      </c>
      <c r="C1061" s="5" t="s">
        <v>12</v>
      </c>
      <c r="D1061" s="4" t="str">
        <f>"赵晶伟"</f>
        <v>赵晶伟</v>
      </c>
      <c r="E1061" s="4" t="str">
        <f t="shared" si="85"/>
        <v>女</v>
      </c>
    </row>
    <row r="1062" customHeight="1" spans="1:5">
      <c r="A1062" s="4">
        <v>1060</v>
      </c>
      <c r="B1062" s="4" t="str">
        <f>"431720220811145828243080"</f>
        <v>431720220811145828243080</v>
      </c>
      <c r="C1062" s="5" t="s">
        <v>12</v>
      </c>
      <c r="D1062" s="4" t="str">
        <f>"梁乾英"</f>
        <v>梁乾英</v>
      </c>
      <c r="E1062" s="4" t="str">
        <f t="shared" si="85"/>
        <v>女</v>
      </c>
    </row>
    <row r="1063" customHeight="1" spans="1:5">
      <c r="A1063" s="4">
        <v>1061</v>
      </c>
      <c r="B1063" s="4" t="str">
        <f>"431720220811170002243456"</f>
        <v>431720220811170002243456</v>
      </c>
      <c r="C1063" s="5" t="s">
        <v>12</v>
      </c>
      <c r="D1063" s="4" t="str">
        <f>"邢诗砚"</f>
        <v>邢诗砚</v>
      </c>
      <c r="E1063" s="4" t="str">
        <f t="shared" si="85"/>
        <v>女</v>
      </c>
    </row>
    <row r="1064" customHeight="1" spans="1:5">
      <c r="A1064" s="4">
        <v>1062</v>
      </c>
      <c r="B1064" s="4" t="str">
        <f>"431720220811190039243560"</f>
        <v>431720220811190039243560</v>
      </c>
      <c r="C1064" s="5" t="s">
        <v>12</v>
      </c>
      <c r="D1064" s="4" t="str">
        <f>"谭金月"</f>
        <v>谭金月</v>
      </c>
      <c r="E1064" s="4" t="str">
        <f t="shared" si="85"/>
        <v>女</v>
      </c>
    </row>
    <row r="1065" customHeight="1" spans="1:5">
      <c r="A1065" s="4">
        <v>1063</v>
      </c>
      <c r="B1065" s="4" t="str">
        <f>"431720220811201146243600"</f>
        <v>431720220811201146243600</v>
      </c>
      <c r="C1065" s="5" t="s">
        <v>12</v>
      </c>
      <c r="D1065" s="4" t="str">
        <f>"钟云"</f>
        <v>钟云</v>
      </c>
      <c r="E1065" s="4" t="str">
        <f t="shared" si="85"/>
        <v>女</v>
      </c>
    </row>
    <row r="1066" customHeight="1" spans="1:5">
      <c r="A1066" s="4">
        <v>1064</v>
      </c>
      <c r="B1066" s="4" t="str">
        <f>"431720220811211644243632"</f>
        <v>431720220811211644243632</v>
      </c>
      <c r="C1066" s="5" t="s">
        <v>12</v>
      </c>
      <c r="D1066" s="4" t="str">
        <f>"王慧"</f>
        <v>王慧</v>
      </c>
      <c r="E1066" s="4" t="str">
        <f t="shared" si="85"/>
        <v>女</v>
      </c>
    </row>
    <row r="1067" customHeight="1" spans="1:5">
      <c r="A1067" s="4">
        <v>1065</v>
      </c>
      <c r="B1067" s="4" t="str">
        <f>"431720220812072847243769"</f>
        <v>431720220812072847243769</v>
      </c>
      <c r="C1067" s="5" t="s">
        <v>12</v>
      </c>
      <c r="D1067" s="4" t="str">
        <f>"赵坤相"</f>
        <v>赵坤相</v>
      </c>
      <c r="E1067" s="4" t="str">
        <f t="shared" si="85"/>
        <v>女</v>
      </c>
    </row>
    <row r="1068" customHeight="1" spans="1:5">
      <c r="A1068" s="4">
        <v>1066</v>
      </c>
      <c r="B1068" s="4" t="str">
        <f>"431720220812091031243838"</f>
        <v>431720220812091031243838</v>
      </c>
      <c r="C1068" s="5" t="s">
        <v>12</v>
      </c>
      <c r="D1068" s="4" t="str">
        <f>"王婷婷"</f>
        <v>王婷婷</v>
      </c>
      <c r="E1068" s="4" t="str">
        <f t="shared" si="85"/>
        <v>女</v>
      </c>
    </row>
    <row r="1069" customHeight="1" spans="1:5">
      <c r="A1069" s="4">
        <v>1067</v>
      </c>
      <c r="B1069" s="4" t="str">
        <f>"431720220812111054244072"</f>
        <v>431720220812111054244072</v>
      </c>
      <c r="C1069" s="5" t="s">
        <v>12</v>
      </c>
      <c r="D1069" s="4" t="str">
        <f>"李继丹"</f>
        <v>李继丹</v>
      </c>
      <c r="E1069" s="4" t="str">
        <f t="shared" si="85"/>
        <v>女</v>
      </c>
    </row>
    <row r="1070" customHeight="1" spans="1:5">
      <c r="A1070" s="4">
        <v>1068</v>
      </c>
      <c r="B1070" s="4" t="str">
        <f>"431720220812114603244123"</f>
        <v>431720220812114603244123</v>
      </c>
      <c r="C1070" s="5" t="s">
        <v>12</v>
      </c>
      <c r="D1070" s="4" t="str">
        <f>"袁丽琳"</f>
        <v>袁丽琳</v>
      </c>
      <c r="E1070" s="4" t="str">
        <f t="shared" si="85"/>
        <v>女</v>
      </c>
    </row>
    <row r="1071" customHeight="1" spans="1:5">
      <c r="A1071" s="4">
        <v>1069</v>
      </c>
      <c r="B1071" s="4" t="str">
        <f>"431720220812123500244187"</f>
        <v>431720220812123500244187</v>
      </c>
      <c r="C1071" s="5" t="s">
        <v>12</v>
      </c>
      <c r="D1071" s="4" t="str">
        <f>"王少葵"</f>
        <v>王少葵</v>
      </c>
      <c r="E1071" s="4" t="str">
        <f t="shared" si="85"/>
        <v>女</v>
      </c>
    </row>
    <row r="1072" customHeight="1" spans="1:5">
      <c r="A1072" s="4">
        <v>1070</v>
      </c>
      <c r="B1072" s="4" t="str">
        <f>"431720220812132318244244"</f>
        <v>431720220812132318244244</v>
      </c>
      <c r="C1072" s="5" t="s">
        <v>12</v>
      </c>
      <c r="D1072" s="4" t="str">
        <f>"龙世慧"</f>
        <v>龙世慧</v>
      </c>
      <c r="E1072" s="4" t="str">
        <f t="shared" si="85"/>
        <v>女</v>
      </c>
    </row>
    <row r="1073" customHeight="1" spans="1:5">
      <c r="A1073" s="4">
        <v>1071</v>
      </c>
      <c r="B1073" s="4" t="str">
        <f>"431720220812134015244258"</f>
        <v>431720220812134015244258</v>
      </c>
      <c r="C1073" s="5" t="s">
        <v>12</v>
      </c>
      <c r="D1073" s="4" t="str">
        <f>"李文洁"</f>
        <v>李文洁</v>
      </c>
      <c r="E1073" s="4" t="str">
        <f t="shared" si="85"/>
        <v>女</v>
      </c>
    </row>
    <row r="1074" customHeight="1" spans="1:5">
      <c r="A1074" s="4">
        <v>1072</v>
      </c>
      <c r="B1074" s="4" t="str">
        <f>"431720220812154110244399"</f>
        <v>431720220812154110244399</v>
      </c>
      <c r="C1074" s="5" t="s">
        <v>12</v>
      </c>
      <c r="D1074" s="4" t="str">
        <f>"邢珍"</f>
        <v>邢珍</v>
      </c>
      <c r="E1074" s="4" t="str">
        <f t="shared" si="85"/>
        <v>女</v>
      </c>
    </row>
    <row r="1075" customHeight="1" spans="1:5">
      <c r="A1075" s="4">
        <v>1073</v>
      </c>
      <c r="B1075" s="4" t="str">
        <f>"431720220806092600231268"</f>
        <v>431720220806092600231268</v>
      </c>
      <c r="C1075" s="5" t="s">
        <v>13</v>
      </c>
      <c r="D1075" s="4" t="str">
        <f>"薛梅岭"</f>
        <v>薛梅岭</v>
      </c>
      <c r="E1075" s="4" t="str">
        <f t="shared" si="85"/>
        <v>女</v>
      </c>
    </row>
    <row r="1076" customHeight="1" spans="1:5">
      <c r="A1076" s="4">
        <v>1074</v>
      </c>
      <c r="B1076" s="4" t="str">
        <f>"431720220806093658231296"</f>
        <v>431720220806093658231296</v>
      </c>
      <c r="C1076" s="5" t="s">
        <v>13</v>
      </c>
      <c r="D1076" s="4" t="str">
        <f>"王虹丁"</f>
        <v>王虹丁</v>
      </c>
      <c r="E1076" s="4" t="str">
        <f t="shared" si="85"/>
        <v>女</v>
      </c>
    </row>
    <row r="1077" customHeight="1" spans="1:5">
      <c r="A1077" s="4">
        <v>1075</v>
      </c>
      <c r="B1077" s="4" t="str">
        <f>"431720220806095240231353"</f>
        <v>431720220806095240231353</v>
      </c>
      <c r="C1077" s="5" t="s">
        <v>13</v>
      </c>
      <c r="D1077" s="4" t="str">
        <f>"廖珍"</f>
        <v>廖珍</v>
      </c>
      <c r="E1077" s="4" t="str">
        <f t="shared" si="85"/>
        <v>女</v>
      </c>
    </row>
    <row r="1078" customHeight="1" spans="1:5">
      <c r="A1078" s="4">
        <v>1076</v>
      </c>
      <c r="B1078" s="4" t="str">
        <f>"431720220806124016231861"</f>
        <v>431720220806124016231861</v>
      </c>
      <c r="C1078" s="5" t="s">
        <v>13</v>
      </c>
      <c r="D1078" s="4" t="str">
        <f>"张成艳"</f>
        <v>张成艳</v>
      </c>
      <c r="E1078" s="4" t="str">
        <f t="shared" si="85"/>
        <v>女</v>
      </c>
    </row>
    <row r="1079" customHeight="1" spans="1:5">
      <c r="A1079" s="4">
        <v>1077</v>
      </c>
      <c r="B1079" s="4" t="str">
        <f>"431720220806170433232430"</f>
        <v>431720220806170433232430</v>
      </c>
      <c r="C1079" s="5" t="s">
        <v>13</v>
      </c>
      <c r="D1079" s="4" t="str">
        <f>"陈秀联"</f>
        <v>陈秀联</v>
      </c>
      <c r="E1079" s="4" t="str">
        <f t="shared" si="85"/>
        <v>女</v>
      </c>
    </row>
    <row r="1080" customHeight="1" spans="1:5">
      <c r="A1080" s="4">
        <v>1078</v>
      </c>
      <c r="B1080" s="4" t="str">
        <f>"431720220806193020232609"</f>
        <v>431720220806193020232609</v>
      </c>
      <c r="C1080" s="5" t="s">
        <v>13</v>
      </c>
      <c r="D1080" s="4" t="str">
        <f>"甄汉江"</f>
        <v>甄汉江</v>
      </c>
      <c r="E1080" s="4" t="str">
        <f t="shared" si="85"/>
        <v>女</v>
      </c>
    </row>
    <row r="1081" customHeight="1" spans="1:5">
      <c r="A1081" s="4">
        <v>1079</v>
      </c>
      <c r="B1081" s="4" t="str">
        <f>"431720220806193538232618"</f>
        <v>431720220806193538232618</v>
      </c>
      <c r="C1081" s="5" t="s">
        <v>13</v>
      </c>
      <c r="D1081" s="4" t="str">
        <f>"王小壮"</f>
        <v>王小壮</v>
      </c>
      <c r="E1081" s="4" t="str">
        <f>"男"</f>
        <v>男</v>
      </c>
    </row>
    <row r="1082" customHeight="1" spans="1:5">
      <c r="A1082" s="4">
        <v>1080</v>
      </c>
      <c r="B1082" s="4" t="str">
        <f>"431720220807101008233015"</f>
        <v>431720220807101008233015</v>
      </c>
      <c r="C1082" s="5" t="s">
        <v>13</v>
      </c>
      <c r="D1082" s="4" t="str">
        <f>"罗振彪"</f>
        <v>罗振彪</v>
      </c>
      <c r="E1082" s="4" t="str">
        <f>"男"</f>
        <v>男</v>
      </c>
    </row>
    <row r="1083" customHeight="1" spans="1:5">
      <c r="A1083" s="4">
        <v>1081</v>
      </c>
      <c r="B1083" s="4" t="str">
        <f>"431720220807120943233138"</f>
        <v>431720220807120943233138</v>
      </c>
      <c r="C1083" s="5" t="s">
        <v>13</v>
      </c>
      <c r="D1083" s="4" t="str">
        <f>"曾小丽"</f>
        <v>曾小丽</v>
      </c>
      <c r="E1083" s="4" t="str">
        <f t="shared" ref="E1083:E1087" si="86">"女"</f>
        <v>女</v>
      </c>
    </row>
    <row r="1084" customHeight="1" spans="1:5">
      <c r="A1084" s="4">
        <v>1082</v>
      </c>
      <c r="B1084" s="4" t="str">
        <f>"431720220807122459233150"</f>
        <v>431720220807122459233150</v>
      </c>
      <c r="C1084" s="5" t="s">
        <v>13</v>
      </c>
      <c r="D1084" s="4" t="str">
        <f>"王婆平"</f>
        <v>王婆平</v>
      </c>
      <c r="E1084" s="4" t="str">
        <f t="shared" si="86"/>
        <v>女</v>
      </c>
    </row>
    <row r="1085" customHeight="1" spans="1:5">
      <c r="A1085" s="4">
        <v>1083</v>
      </c>
      <c r="B1085" s="4" t="str">
        <f>"431720220807130026233177"</f>
        <v>431720220807130026233177</v>
      </c>
      <c r="C1085" s="5" t="s">
        <v>13</v>
      </c>
      <c r="D1085" s="4" t="str">
        <f>"王艳群"</f>
        <v>王艳群</v>
      </c>
      <c r="E1085" s="4" t="str">
        <f t="shared" si="86"/>
        <v>女</v>
      </c>
    </row>
    <row r="1086" customHeight="1" spans="1:5">
      <c r="A1086" s="4">
        <v>1084</v>
      </c>
      <c r="B1086" s="4" t="str">
        <f>"431720220807142933233263"</f>
        <v>431720220807142933233263</v>
      </c>
      <c r="C1086" s="5" t="s">
        <v>13</v>
      </c>
      <c r="D1086" s="4" t="str">
        <f>"陈家钰"</f>
        <v>陈家钰</v>
      </c>
      <c r="E1086" s="4" t="str">
        <f t="shared" si="86"/>
        <v>女</v>
      </c>
    </row>
    <row r="1087" customHeight="1" spans="1:5">
      <c r="A1087" s="4">
        <v>1085</v>
      </c>
      <c r="B1087" s="4" t="str">
        <f>"431720220807160631233367"</f>
        <v>431720220807160631233367</v>
      </c>
      <c r="C1087" s="5" t="s">
        <v>13</v>
      </c>
      <c r="D1087" s="4" t="str">
        <f>"陈丽佳"</f>
        <v>陈丽佳</v>
      </c>
      <c r="E1087" s="4" t="str">
        <f t="shared" si="86"/>
        <v>女</v>
      </c>
    </row>
    <row r="1088" customHeight="1" spans="1:5">
      <c r="A1088" s="4">
        <v>1086</v>
      </c>
      <c r="B1088" s="4" t="str">
        <f>"431720220807170250233434"</f>
        <v>431720220807170250233434</v>
      </c>
      <c r="C1088" s="5" t="s">
        <v>13</v>
      </c>
      <c r="D1088" s="4" t="str">
        <f>"石磊"</f>
        <v>石磊</v>
      </c>
      <c r="E1088" s="4" t="str">
        <f>"男"</f>
        <v>男</v>
      </c>
    </row>
    <row r="1089" customHeight="1" spans="1:5">
      <c r="A1089" s="4">
        <v>1087</v>
      </c>
      <c r="B1089" s="4" t="str">
        <f>"431720220807180244233481"</f>
        <v>431720220807180244233481</v>
      </c>
      <c r="C1089" s="5" t="s">
        <v>13</v>
      </c>
      <c r="D1089" s="4" t="str">
        <f>"谢芸妃"</f>
        <v>谢芸妃</v>
      </c>
      <c r="E1089" s="4" t="str">
        <f t="shared" ref="E1089:E1091" si="87">"女"</f>
        <v>女</v>
      </c>
    </row>
    <row r="1090" customHeight="1" spans="1:5">
      <c r="A1090" s="4">
        <v>1088</v>
      </c>
      <c r="B1090" s="4" t="str">
        <f>"431720220807193606233526"</f>
        <v>431720220807193606233526</v>
      </c>
      <c r="C1090" s="5" t="s">
        <v>13</v>
      </c>
      <c r="D1090" s="4" t="str">
        <f>"梁妹玲"</f>
        <v>梁妹玲</v>
      </c>
      <c r="E1090" s="4" t="str">
        <f t="shared" si="87"/>
        <v>女</v>
      </c>
    </row>
    <row r="1091" customHeight="1" spans="1:5">
      <c r="A1091" s="4">
        <v>1089</v>
      </c>
      <c r="B1091" s="4" t="str">
        <f>"431720220807220342233622"</f>
        <v>431720220807220342233622</v>
      </c>
      <c r="C1091" s="5" t="s">
        <v>13</v>
      </c>
      <c r="D1091" s="4" t="str">
        <f>"陈三妹"</f>
        <v>陈三妹</v>
      </c>
      <c r="E1091" s="4" t="str">
        <f t="shared" si="87"/>
        <v>女</v>
      </c>
    </row>
    <row r="1092" customHeight="1" spans="1:5">
      <c r="A1092" s="4">
        <v>1090</v>
      </c>
      <c r="B1092" s="4" t="str">
        <f>"431720220808085119233904"</f>
        <v>431720220808085119233904</v>
      </c>
      <c r="C1092" s="5" t="s">
        <v>13</v>
      </c>
      <c r="D1092" s="4" t="str">
        <f>"蒙庆"</f>
        <v>蒙庆</v>
      </c>
      <c r="E1092" s="4" t="str">
        <f>"男"</f>
        <v>男</v>
      </c>
    </row>
    <row r="1093" customHeight="1" spans="1:5">
      <c r="A1093" s="4">
        <v>1091</v>
      </c>
      <c r="B1093" s="4" t="str">
        <f>"431720220808133151235377"</f>
        <v>431720220808133151235377</v>
      </c>
      <c r="C1093" s="5" t="s">
        <v>13</v>
      </c>
      <c r="D1093" s="4" t="str">
        <f>"陈波玉"</f>
        <v>陈波玉</v>
      </c>
      <c r="E1093" s="4" t="str">
        <f t="shared" ref="E1093:E1101" si="88">"女"</f>
        <v>女</v>
      </c>
    </row>
    <row r="1094" customHeight="1" spans="1:5">
      <c r="A1094" s="4">
        <v>1092</v>
      </c>
      <c r="B1094" s="4" t="str">
        <f>"431720220808165751235990"</f>
        <v>431720220808165751235990</v>
      </c>
      <c r="C1094" s="5" t="s">
        <v>13</v>
      </c>
      <c r="D1094" s="4" t="str">
        <f>"黄海颜"</f>
        <v>黄海颜</v>
      </c>
      <c r="E1094" s="4" t="str">
        <f t="shared" si="88"/>
        <v>女</v>
      </c>
    </row>
    <row r="1095" customHeight="1" spans="1:5">
      <c r="A1095" s="4">
        <v>1093</v>
      </c>
      <c r="B1095" s="4" t="str">
        <f>"431720220808175231236157"</f>
        <v>431720220808175231236157</v>
      </c>
      <c r="C1095" s="5" t="s">
        <v>13</v>
      </c>
      <c r="D1095" s="4" t="str">
        <f>"方金灵"</f>
        <v>方金灵</v>
      </c>
      <c r="E1095" s="4" t="str">
        <f t="shared" si="88"/>
        <v>女</v>
      </c>
    </row>
    <row r="1096" customHeight="1" spans="1:5">
      <c r="A1096" s="4">
        <v>1094</v>
      </c>
      <c r="B1096" s="4" t="str">
        <f>"431720220808183253236260"</f>
        <v>431720220808183253236260</v>
      </c>
      <c r="C1096" s="5" t="s">
        <v>13</v>
      </c>
      <c r="D1096" s="4" t="str">
        <f>"符秋丽"</f>
        <v>符秋丽</v>
      </c>
      <c r="E1096" s="4" t="str">
        <f t="shared" si="88"/>
        <v>女</v>
      </c>
    </row>
    <row r="1097" customHeight="1" spans="1:5">
      <c r="A1097" s="4">
        <v>1095</v>
      </c>
      <c r="B1097" s="4" t="str">
        <f>"431720220809201634238754"</f>
        <v>431720220809201634238754</v>
      </c>
      <c r="C1097" s="5" t="s">
        <v>13</v>
      </c>
      <c r="D1097" s="4" t="str">
        <f>"刘颖霜"</f>
        <v>刘颖霜</v>
      </c>
      <c r="E1097" s="4" t="str">
        <f t="shared" si="88"/>
        <v>女</v>
      </c>
    </row>
    <row r="1098" customHeight="1" spans="1:5">
      <c r="A1098" s="4">
        <v>1096</v>
      </c>
      <c r="B1098" s="4" t="str">
        <f>"431720220810082935239313"</f>
        <v>431720220810082935239313</v>
      </c>
      <c r="C1098" s="5" t="s">
        <v>13</v>
      </c>
      <c r="D1098" s="4" t="str">
        <f>"许桃垮"</f>
        <v>许桃垮</v>
      </c>
      <c r="E1098" s="4" t="str">
        <f t="shared" si="88"/>
        <v>女</v>
      </c>
    </row>
    <row r="1099" customHeight="1" spans="1:5">
      <c r="A1099" s="4">
        <v>1097</v>
      </c>
      <c r="B1099" s="4" t="str">
        <f>"431720220810103659239770"</f>
        <v>431720220810103659239770</v>
      </c>
      <c r="C1099" s="5" t="s">
        <v>13</v>
      </c>
      <c r="D1099" s="4" t="str">
        <f>"陈慧萍"</f>
        <v>陈慧萍</v>
      </c>
      <c r="E1099" s="4" t="str">
        <f t="shared" si="88"/>
        <v>女</v>
      </c>
    </row>
    <row r="1100" customHeight="1" spans="1:5">
      <c r="A1100" s="4">
        <v>1098</v>
      </c>
      <c r="B1100" s="4" t="str">
        <f>"431720220810222213241612"</f>
        <v>431720220810222213241612</v>
      </c>
      <c r="C1100" s="5" t="s">
        <v>13</v>
      </c>
      <c r="D1100" s="4" t="str">
        <f>"王小梦"</f>
        <v>王小梦</v>
      </c>
      <c r="E1100" s="4" t="str">
        <f t="shared" si="88"/>
        <v>女</v>
      </c>
    </row>
    <row r="1101" customHeight="1" spans="1:5">
      <c r="A1101" s="4">
        <v>1099</v>
      </c>
      <c r="B1101" s="4" t="str">
        <f>"431720220811102444242302"</f>
        <v>431720220811102444242302</v>
      </c>
      <c r="C1101" s="5" t="s">
        <v>13</v>
      </c>
      <c r="D1101" s="4" t="str">
        <f>"陈玉换"</f>
        <v>陈玉换</v>
      </c>
      <c r="E1101" s="4" t="str">
        <f t="shared" si="88"/>
        <v>女</v>
      </c>
    </row>
    <row r="1102" customHeight="1" spans="1:5">
      <c r="A1102" s="4">
        <v>1100</v>
      </c>
      <c r="B1102" s="4" t="str">
        <f>"431720220811104332242367"</f>
        <v>431720220811104332242367</v>
      </c>
      <c r="C1102" s="5" t="s">
        <v>13</v>
      </c>
      <c r="D1102" s="4" t="str">
        <f>"肖灿友"</f>
        <v>肖灿友</v>
      </c>
      <c r="E1102" s="4" t="str">
        <f t="shared" ref="E1102:E1105" si="89">"男"</f>
        <v>男</v>
      </c>
    </row>
    <row r="1103" customHeight="1" spans="1:5">
      <c r="A1103" s="4">
        <v>1101</v>
      </c>
      <c r="B1103" s="4" t="str">
        <f>"431720220811112214242479"</f>
        <v>431720220811112214242479</v>
      </c>
      <c r="C1103" s="5" t="s">
        <v>13</v>
      </c>
      <c r="D1103" s="4" t="str">
        <f>"王明祎"</f>
        <v>王明祎</v>
      </c>
      <c r="E1103" s="4" t="str">
        <f t="shared" si="89"/>
        <v>男</v>
      </c>
    </row>
    <row r="1104" customHeight="1" spans="1:5">
      <c r="A1104" s="4">
        <v>1102</v>
      </c>
      <c r="B1104" s="4" t="str">
        <f>"431720220811155813243270"</f>
        <v>431720220811155813243270</v>
      </c>
      <c r="C1104" s="5" t="s">
        <v>13</v>
      </c>
      <c r="D1104" s="4" t="str">
        <f>"郑雪"</f>
        <v>郑雪</v>
      </c>
      <c r="E1104" s="4" t="str">
        <f t="shared" ref="E1104:E1111" si="90">"女"</f>
        <v>女</v>
      </c>
    </row>
    <row r="1105" customHeight="1" spans="1:5">
      <c r="A1105" s="4">
        <v>1103</v>
      </c>
      <c r="B1105" s="4" t="str">
        <f>"431720220811191024243561"</f>
        <v>431720220811191024243561</v>
      </c>
      <c r="C1105" s="5" t="s">
        <v>13</v>
      </c>
      <c r="D1105" s="4" t="str">
        <f>"王万里"</f>
        <v>王万里</v>
      </c>
      <c r="E1105" s="4" t="str">
        <f t="shared" si="89"/>
        <v>男</v>
      </c>
    </row>
    <row r="1106" customHeight="1" spans="1:5">
      <c r="A1106" s="4">
        <v>1104</v>
      </c>
      <c r="B1106" s="4" t="str">
        <f>"431720220811192912243572"</f>
        <v>431720220811192912243572</v>
      </c>
      <c r="C1106" s="5" t="s">
        <v>13</v>
      </c>
      <c r="D1106" s="4" t="str">
        <f>"郭巧玲"</f>
        <v>郭巧玲</v>
      </c>
      <c r="E1106" s="4" t="str">
        <f t="shared" si="90"/>
        <v>女</v>
      </c>
    </row>
    <row r="1107" customHeight="1" spans="1:5">
      <c r="A1107" s="4">
        <v>1105</v>
      </c>
      <c r="B1107" s="4" t="str">
        <f>"431720220811193025243573"</f>
        <v>431720220811193025243573</v>
      </c>
      <c r="C1107" s="5" t="s">
        <v>13</v>
      </c>
      <c r="D1107" s="4" t="str">
        <f>"谢宾慧"</f>
        <v>谢宾慧</v>
      </c>
      <c r="E1107" s="4" t="str">
        <f t="shared" si="90"/>
        <v>女</v>
      </c>
    </row>
    <row r="1108" customHeight="1" spans="1:5">
      <c r="A1108" s="4">
        <v>1106</v>
      </c>
      <c r="B1108" s="4" t="str">
        <f>"431720220812070926243767"</f>
        <v>431720220812070926243767</v>
      </c>
      <c r="C1108" s="5" t="s">
        <v>13</v>
      </c>
      <c r="D1108" s="4" t="str">
        <f>"王彩虹"</f>
        <v>王彩虹</v>
      </c>
      <c r="E1108" s="4" t="str">
        <f t="shared" si="90"/>
        <v>女</v>
      </c>
    </row>
    <row r="1109" customHeight="1" spans="1:5">
      <c r="A1109" s="4">
        <v>1107</v>
      </c>
      <c r="B1109" s="4" t="str">
        <f>"431720220812073854243773"</f>
        <v>431720220812073854243773</v>
      </c>
      <c r="C1109" s="5" t="s">
        <v>13</v>
      </c>
      <c r="D1109" s="4" t="str">
        <f>"王丽燕"</f>
        <v>王丽燕</v>
      </c>
      <c r="E1109" s="4" t="str">
        <f t="shared" si="90"/>
        <v>女</v>
      </c>
    </row>
    <row r="1110" customHeight="1" spans="1:5">
      <c r="A1110" s="4">
        <v>1108</v>
      </c>
      <c r="B1110" s="4" t="str">
        <f>"431720220812101135243953"</f>
        <v>431720220812101135243953</v>
      </c>
      <c r="C1110" s="5" t="s">
        <v>13</v>
      </c>
      <c r="D1110" s="4" t="str">
        <f>"吴名秋"</f>
        <v>吴名秋</v>
      </c>
      <c r="E1110" s="4" t="str">
        <f t="shared" si="90"/>
        <v>女</v>
      </c>
    </row>
    <row r="1111" customHeight="1" spans="1:5">
      <c r="A1111" s="4">
        <v>1109</v>
      </c>
      <c r="B1111" s="4" t="str">
        <f>"431720220812102334243972"</f>
        <v>431720220812102334243972</v>
      </c>
      <c r="C1111" s="5" t="s">
        <v>13</v>
      </c>
      <c r="D1111" s="4" t="str">
        <f>"蔡春梅"</f>
        <v>蔡春梅</v>
      </c>
      <c r="E1111" s="4" t="str">
        <f t="shared" si="90"/>
        <v>女</v>
      </c>
    </row>
    <row r="1112" customHeight="1" spans="1:5">
      <c r="A1112" s="4">
        <v>1110</v>
      </c>
      <c r="B1112" s="4" t="str">
        <f>"431720220812105526244047"</f>
        <v>431720220812105526244047</v>
      </c>
      <c r="C1112" s="5" t="s">
        <v>13</v>
      </c>
      <c r="D1112" s="4" t="str">
        <f>"林豪文"</f>
        <v>林豪文</v>
      </c>
      <c r="E1112" s="4" t="str">
        <f t="shared" ref="E1112:E1115" si="91">"男"</f>
        <v>男</v>
      </c>
    </row>
    <row r="1113" customHeight="1" spans="1:5">
      <c r="A1113" s="4">
        <v>1111</v>
      </c>
      <c r="B1113" s="4" t="str">
        <f>"431720220812110351244058"</f>
        <v>431720220812110351244058</v>
      </c>
      <c r="C1113" s="5" t="s">
        <v>13</v>
      </c>
      <c r="D1113" s="4" t="str">
        <f>"吴健强"</f>
        <v>吴健强</v>
      </c>
      <c r="E1113" s="4" t="str">
        <f t="shared" si="91"/>
        <v>男</v>
      </c>
    </row>
    <row r="1114" customHeight="1" spans="1:5">
      <c r="A1114" s="4">
        <v>1112</v>
      </c>
      <c r="B1114" s="4" t="str">
        <f>"431720220812135005244268"</f>
        <v>431720220812135005244268</v>
      </c>
      <c r="C1114" s="5" t="s">
        <v>13</v>
      </c>
      <c r="D1114" s="4" t="str">
        <f>"李舒琴"</f>
        <v>李舒琴</v>
      </c>
      <c r="E1114" s="4" t="str">
        <f t="shared" ref="E1114:E1117" si="92">"女"</f>
        <v>女</v>
      </c>
    </row>
    <row r="1115" customHeight="1" spans="1:5">
      <c r="A1115" s="4">
        <v>1113</v>
      </c>
      <c r="B1115" s="4" t="str">
        <f>"431720220806090237231184"</f>
        <v>431720220806090237231184</v>
      </c>
      <c r="C1115" s="5" t="s">
        <v>14</v>
      </c>
      <c r="D1115" s="4" t="str">
        <f>"张恩豪"</f>
        <v>张恩豪</v>
      </c>
      <c r="E1115" s="4" t="str">
        <f t="shared" si="91"/>
        <v>男</v>
      </c>
    </row>
    <row r="1116" customHeight="1" spans="1:5">
      <c r="A1116" s="4">
        <v>1114</v>
      </c>
      <c r="B1116" s="4" t="str">
        <f>"431720220806102800231460"</f>
        <v>431720220806102800231460</v>
      </c>
      <c r="C1116" s="5" t="s">
        <v>14</v>
      </c>
      <c r="D1116" s="4" t="str">
        <f>"王雅欣"</f>
        <v>王雅欣</v>
      </c>
      <c r="E1116" s="4" t="str">
        <f t="shared" si="92"/>
        <v>女</v>
      </c>
    </row>
    <row r="1117" customHeight="1" spans="1:5">
      <c r="A1117" s="4">
        <v>1115</v>
      </c>
      <c r="B1117" s="4" t="str">
        <f>"431720220806103053231471"</f>
        <v>431720220806103053231471</v>
      </c>
      <c r="C1117" s="5" t="s">
        <v>14</v>
      </c>
      <c r="D1117" s="4" t="str">
        <f>"林世妃"</f>
        <v>林世妃</v>
      </c>
      <c r="E1117" s="4" t="str">
        <f t="shared" si="92"/>
        <v>女</v>
      </c>
    </row>
    <row r="1118" customHeight="1" spans="1:5">
      <c r="A1118" s="4">
        <v>1116</v>
      </c>
      <c r="B1118" s="4" t="str">
        <f>"431720220806134424232030"</f>
        <v>431720220806134424232030</v>
      </c>
      <c r="C1118" s="5" t="s">
        <v>14</v>
      </c>
      <c r="D1118" s="4" t="str">
        <f>"符汉弟"</f>
        <v>符汉弟</v>
      </c>
      <c r="E1118" s="4" t="str">
        <f>"男"</f>
        <v>男</v>
      </c>
    </row>
    <row r="1119" customHeight="1" spans="1:5">
      <c r="A1119" s="4">
        <v>1117</v>
      </c>
      <c r="B1119" s="4" t="str">
        <f>"431720220806155455232288"</f>
        <v>431720220806155455232288</v>
      </c>
      <c r="C1119" s="5" t="s">
        <v>14</v>
      </c>
      <c r="D1119" s="4" t="str">
        <f>"汪玉苗"</f>
        <v>汪玉苗</v>
      </c>
      <c r="E1119" s="4" t="str">
        <f t="shared" ref="E1119:E1130" si="93">"女"</f>
        <v>女</v>
      </c>
    </row>
    <row r="1120" customHeight="1" spans="1:5">
      <c r="A1120" s="4">
        <v>1118</v>
      </c>
      <c r="B1120" s="4" t="str">
        <f>"431720220806192257232598"</f>
        <v>431720220806192257232598</v>
      </c>
      <c r="C1120" s="5" t="s">
        <v>14</v>
      </c>
      <c r="D1120" s="4" t="str">
        <f>"黄财庆"</f>
        <v>黄财庆</v>
      </c>
      <c r="E1120" s="4" t="str">
        <f>"男"</f>
        <v>男</v>
      </c>
    </row>
    <row r="1121" customHeight="1" spans="1:5">
      <c r="A1121" s="4">
        <v>1119</v>
      </c>
      <c r="B1121" s="4" t="str">
        <f>"431720220806195112232646"</f>
        <v>431720220806195112232646</v>
      </c>
      <c r="C1121" s="5" t="s">
        <v>14</v>
      </c>
      <c r="D1121" s="4" t="str">
        <f>"周洁"</f>
        <v>周洁</v>
      </c>
      <c r="E1121" s="4" t="str">
        <f t="shared" si="93"/>
        <v>女</v>
      </c>
    </row>
    <row r="1122" customHeight="1" spans="1:5">
      <c r="A1122" s="4">
        <v>1120</v>
      </c>
      <c r="B1122" s="4" t="str">
        <f>"431720220806202022232692"</f>
        <v>431720220806202022232692</v>
      </c>
      <c r="C1122" s="5" t="s">
        <v>14</v>
      </c>
      <c r="D1122" s="4" t="str">
        <f>"符海菲"</f>
        <v>符海菲</v>
      </c>
      <c r="E1122" s="4" t="str">
        <f t="shared" si="93"/>
        <v>女</v>
      </c>
    </row>
    <row r="1123" customHeight="1" spans="1:5">
      <c r="A1123" s="4">
        <v>1121</v>
      </c>
      <c r="B1123" s="4" t="str">
        <f>"431720220807074559232912"</f>
        <v>431720220807074559232912</v>
      </c>
      <c r="C1123" s="5" t="s">
        <v>14</v>
      </c>
      <c r="D1123" s="4" t="str">
        <f>"陈春伶"</f>
        <v>陈春伶</v>
      </c>
      <c r="E1123" s="4" t="str">
        <f t="shared" si="93"/>
        <v>女</v>
      </c>
    </row>
    <row r="1124" customHeight="1" spans="1:5">
      <c r="A1124" s="4">
        <v>1122</v>
      </c>
      <c r="B1124" s="4" t="str">
        <f>"431720220807172237233450"</f>
        <v>431720220807172237233450</v>
      </c>
      <c r="C1124" s="5" t="s">
        <v>14</v>
      </c>
      <c r="D1124" s="4" t="str">
        <f>"符莹红"</f>
        <v>符莹红</v>
      </c>
      <c r="E1124" s="4" t="str">
        <f t="shared" si="93"/>
        <v>女</v>
      </c>
    </row>
    <row r="1125" customHeight="1" spans="1:5">
      <c r="A1125" s="4">
        <v>1123</v>
      </c>
      <c r="B1125" s="4" t="str">
        <f>"431720220807180722233485"</f>
        <v>431720220807180722233485</v>
      </c>
      <c r="C1125" s="5" t="s">
        <v>14</v>
      </c>
      <c r="D1125" s="4" t="str">
        <f>"黄慧娇"</f>
        <v>黄慧娇</v>
      </c>
      <c r="E1125" s="4" t="str">
        <f t="shared" si="93"/>
        <v>女</v>
      </c>
    </row>
    <row r="1126" customHeight="1" spans="1:5">
      <c r="A1126" s="4">
        <v>1124</v>
      </c>
      <c r="B1126" s="4" t="str">
        <f>"431720220807210523233583"</f>
        <v>431720220807210523233583</v>
      </c>
      <c r="C1126" s="5" t="s">
        <v>14</v>
      </c>
      <c r="D1126" s="4" t="str">
        <f>"殷礼惠"</f>
        <v>殷礼惠</v>
      </c>
      <c r="E1126" s="4" t="str">
        <f t="shared" si="93"/>
        <v>女</v>
      </c>
    </row>
    <row r="1127" customHeight="1" spans="1:5">
      <c r="A1127" s="4">
        <v>1125</v>
      </c>
      <c r="B1127" s="4" t="str">
        <f>"431720220807235841233675"</f>
        <v>431720220807235841233675</v>
      </c>
      <c r="C1127" s="5" t="s">
        <v>14</v>
      </c>
      <c r="D1127" s="4" t="str">
        <f>"黎晓晴"</f>
        <v>黎晓晴</v>
      </c>
      <c r="E1127" s="4" t="str">
        <f t="shared" si="93"/>
        <v>女</v>
      </c>
    </row>
    <row r="1128" customHeight="1" spans="1:5">
      <c r="A1128" s="4">
        <v>1126</v>
      </c>
      <c r="B1128" s="4" t="str">
        <f>"431720220808135831235429"</f>
        <v>431720220808135831235429</v>
      </c>
      <c r="C1128" s="5" t="s">
        <v>14</v>
      </c>
      <c r="D1128" s="4" t="str">
        <f>"陈乙红"</f>
        <v>陈乙红</v>
      </c>
      <c r="E1128" s="4" t="str">
        <f t="shared" si="93"/>
        <v>女</v>
      </c>
    </row>
    <row r="1129" customHeight="1" spans="1:5">
      <c r="A1129" s="4">
        <v>1127</v>
      </c>
      <c r="B1129" s="4" t="str">
        <f>"431720220809125147237853"</f>
        <v>431720220809125147237853</v>
      </c>
      <c r="C1129" s="5" t="s">
        <v>14</v>
      </c>
      <c r="D1129" s="4" t="str">
        <f>"黄子慧"</f>
        <v>黄子慧</v>
      </c>
      <c r="E1129" s="4" t="str">
        <f t="shared" si="93"/>
        <v>女</v>
      </c>
    </row>
    <row r="1130" customHeight="1" spans="1:5">
      <c r="A1130" s="4">
        <v>1128</v>
      </c>
      <c r="B1130" s="4" t="str">
        <f>"431720220809193730238686"</f>
        <v>431720220809193730238686</v>
      </c>
      <c r="C1130" s="5" t="s">
        <v>14</v>
      </c>
      <c r="D1130" s="4" t="str">
        <f>"吴亭"</f>
        <v>吴亭</v>
      </c>
      <c r="E1130" s="4" t="str">
        <f t="shared" si="93"/>
        <v>女</v>
      </c>
    </row>
    <row r="1131" customHeight="1" spans="1:5">
      <c r="A1131" s="4">
        <v>1129</v>
      </c>
      <c r="B1131" s="4" t="str">
        <f>"431720220809201956238766"</f>
        <v>431720220809201956238766</v>
      </c>
      <c r="C1131" s="5" t="s">
        <v>14</v>
      </c>
      <c r="D1131" s="4" t="str">
        <f>"杨童"</f>
        <v>杨童</v>
      </c>
      <c r="E1131" s="4" t="str">
        <f>"男"</f>
        <v>男</v>
      </c>
    </row>
    <row r="1132" customHeight="1" spans="1:5">
      <c r="A1132" s="4">
        <v>1130</v>
      </c>
      <c r="B1132" s="4" t="str">
        <f>"431720220810091206239425"</f>
        <v>431720220810091206239425</v>
      </c>
      <c r="C1132" s="5" t="s">
        <v>14</v>
      </c>
      <c r="D1132" s="4" t="str">
        <f>"洪莹"</f>
        <v>洪莹</v>
      </c>
      <c r="E1132" s="4" t="str">
        <f t="shared" ref="E1132:E1147" si="94">"女"</f>
        <v>女</v>
      </c>
    </row>
    <row r="1133" customHeight="1" spans="1:5">
      <c r="A1133" s="4">
        <v>1131</v>
      </c>
      <c r="B1133" s="4" t="str">
        <f>"431720220810211802241449"</f>
        <v>431720220810211802241449</v>
      </c>
      <c r="C1133" s="5" t="s">
        <v>14</v>
      </c>
      <c r="D1133" s="4" t="str">
        <f>"林彩梅"</f>
        <v>林彩梅</v>
      </c>
      <c r="E1133" s="4" t="str">
        <f t="shared" si="94"/>
        <v>女</v>
      </c>
    </row>
    <row r="1134" customHeight="1" spans="1:5">
      <c r="A1134" s="4">
        <v>1132</v>
      </c>
      <c r="B1134" s="4" t="str">
        <f>"431720220810213721241500"</f>
        <v>431720220810213721241500</v>
      </c>
      <c r="C1134" s="5" t="s">
        <v>14</v>
      </c>
      <c r="D1134" s="4" t="str">
        <f>"吴梦怡"</f>
        <v>吴梦怡</v>
      </c>
      <c r="E1134" s="4" t="str">
        <f t="shared" si="94"/>
        <v>女</v>
      </c>
    </row>
    <row r="1135" customHeight="1" spans="1:5">
      <c r="A1135" s="4">
        <v>1133</v>
      </c>
      <c r="B1135" s="4" t="str">
        <f>"431720220810233134241732"</f>
        <v>431720220810233134241732</v>
      </c>
      <c r="C1135" s="5" t="s">
        <v>14</v>
      </c>
      <c r="D1135" s="4" t="str">
        <f>"唐善鹏"</f>
        <v>唐善鹏</v>
      </c>
      <c r="E1135" s="4" t="str">
        <f t="shared" si="94"/>
        <v>女</v>
      </c>
    </row>
    <row r="1136" customHeight="1" spans="1:5">
      <c r="A1136" s="4">
        <v>1134</v>
      </c>
      <c r="B1136" s="4" t="str">
        <f>"431720220811092758242080"</f>
        <v>431720220811092758242080</v>
      </c>
      <c r="C1136" s="5" t="s">
        <v>14</v>
      </c>
      <c r="D1136" s="4" t="str">
        <f>"谢黄芳"</f>
        <v>谢黄芳</v>
      </c>
      <c r="E1136" s="4" t="str">
        <f t="shared" si="94"/>
        <v>女</v>
      </c>
    </row>
    <row r="1137" customHeight="1" spans="1:5">
      <c r="A1137" s="4">
        <v>1135</v>
      </c>
      <c r="B1137" s="4" t="str">
        <f>"431720220811125413242733"</f>
        <v>431720220811125413242733</v>
      </c>
      <c r="C1137" s="5" t="s">
        <v>14</v>
      </c>
      <c r="D1137" s="4" t="str">
        <f>"钟文苑"</f>
        <v>钟文苑</v>
      </c>
      <c r="E1137" s="4" t="str">
        <f t="shared" si="94"/>
        <v>女</v>
      </c>
    </row>
    <row r="1138" customHeight="1" spans="1:5">
      <c r="A1138" s="4">
        <v>1136</v>
      </c>
      <c r="B1138" s="4" t="str">
        <f>"431720220811144959243046"</f>
        <v>431720220811144959243046</v>
      </c>
      <c r="C1138" s="5" t="s">
        <v>14</v>
      </c>
      <c r="D1138" s="4" t="str">
        <f>"陈莹"</f>
        <v>陈莹</v>
      </c>
      <c r="E1138" s="4" t="str">
        <f t="shared" si="94"/>
        <v>女</v>
      </c>
    </row>
    <row r="1139" customHeight="1" spans="1:5">
      <c r="A1139" s="4">
        <v>1137</v>
      </c>
      <c r="B1139" s="4" t="str">
        <f>"431720220811171340243487"</f>
        <v>431720220811171340243487</v>
      </c>
      <c r="C1139" s="5" t="s">
        <v>14</v>
      </c>
      <c r="D1139" s="4" t="str">
        <f>"林师"</f>
        <v>林师</v>
      </c>
      <c r="E1139" s="4" t="str">
        <f t="shared" si="94"/>
        <v>女</v>
      </c>
    </row>
    <row r="1140" customHeight="1" spans="1:5">
      <c r="A1140" s="4">
        <v>1138</v>
      </c>
      <c r="B1140" s="4" t="str">
        <f>"431720220811191807243567"</f>
        <v>431720220811191807243567</v>
      </c>
      <c r="C1140" s="5" t="s">
        <v>14</v>
      </c>
      <c r="D1140" s="4" t="str">
        <f>"丁梦珍"</f>
        <v>丁梦珍</v>
      </c>
      <c r="E1140" s="4" t="str">
        <f t="shared" si="94"/>
        <v>女</v>
      </c>
    </row>
    <row r="1141" customHeight="1" spans="1:5">
      <c r="A1141" s="4">
        <v>1139</v>
      </c>
      <c r="B1141" s="4" t="str">
        <f>"431720220811193404243576"</f>
        <v>431720220811193404243576</v>
      </c>
      <c r="C1141" s="5" t="s">
        <v>14</v>
      </c>
      <c r="D1141" s="4" t="str">
        <f>"谢碧青"</f>
        <v>谢碧青</v>
      </c>
      <c r="E1141" s="4" t="str">
        <f t="shared" si="94"/>
        <v>女</v>
      </c>
    </row>
    <row r="1142" customHeight="1" spans="1:5">
      <c r="A1142" s="4">
        <v>1140</v>
      </c>
      <c r="B1142" s="4" t="str">
        <f>"431720220811201634243602"</f>
        <v>431720220811201634243602</v>
      </c>
      <c r="C1142" s="5" t="s">
        <v>14</v>
      </c>
      <c r="D1142" s="4" t="str">
        <f>"王英"</f>
        <v>王英</v>
      </c>
      <c r="E1142" s="4" t="str">
        <f t="shared" si="94"/>
        <v>女</v>
      </c>
    </row>
    <row r="1143" customHeight="1" spans="1:5">
      <c r="A1143" s="4">
        <v>1141</v>
      </c>
      <c r="B1143" s="4" t="str">
        <f>"431720220811213920243644"</f>
        <v>431720220811213920243644</v>
      </c>
      <c r="C1143" s="5" t="s">
        <v>14</v>
      </c>
      <c r="D1143" s="4" t="str">
        <f>"王舒颖"</f>
        <v>王舒颖</v>
      </c>
      <c r="E1143" s="4" t="str">
        <f t="shared" si="94"/>
        <v>女</v>
      </c>
    </row>
    <row r="1144" customHeight="1" spans="1:5">
      <c r="A1144" s="4">
        <v>1142</v>
      </c>
      <c r="B1144" s="4" t="str">
        <f>"431720220811230000243704"</f>
        <v>431720220811230000243704</v>
      </c>
      <c r="C1144" s="5" t="s">
        <v>14</v>
      </c>
      <c r="D1144" s="4" t="str">
        <f>"唐海红"</f>
        <v>唐海红</v>
      </c>
      <c r="E1144" s="4" t="str">
        <f t="shared" si="94"/>
        <v>女</v>
      </c>
    </row>
    <row r="1145" customHeight="1" spans="1:5">
      <c r="A1145" s="4">
        <v>1143</v>
      </c>
      <c r="B1145" s="4" t="str">
        <f>"431720220812093604243879"</f>
        <v>431720220812093604243879</v>
      </c>
      <c r="C1145" s="5" t="s">
        <v>14</v>
      </c>
      <c r="D1145" s="4" t="str">
        <f>"刘畅"</f>
        <v>刘畅</v>
      </c>
      <c r="E1145" s="4" t="str">
        <f t="shared" si="94"/>
        <v>女</v>
      </c>
    </row>
    <row r="1146" customHeight="1" spans="1:5">
      <c r="A1146" s="4">
        <v>1144</v>
      </c>
      <c r="B1146" s="4" t="str">
        <f>"431720220806090426231189"</f>
        <v>431720220806090426231189</v>
      </c>
      <c r="C1146" s="5" t="s">
        <v>15</v>
      </c>
      <c r="D1146" s="4" t="str">
        <f>"陈媚洁"</f>
        <v>陈媚洁</v>
      </c>
      <c r="E1146" s="4" t="str">
        <f t="shared" si="94"/>
        <v>女</v>
      </c>
    </row>
    <row r="1147" customHeight="1" spans="1:5">
      <c r="A1147" s="4">
        <v>1145</v>
      </c>
      <c r="B1147" s="4" t="str">
        <f>"431720220806091021231208"</f>
        <v>431720220806091021231208</v>
      </c>
      <c r="C1147" s="5" t="s">
        <v>15</v>
      </c>
      <c r="D1147" s="4" t="str">
        <f>"郑彩妹"</f>
        <v>郑彩妹</v>
      </c>
      <c r="E1147" s="4" t="str">
        <f t="shared" si="94"/>
        <v>女</v>
      </c>
    </row>
    <row r="1148" customHeight="1" spans="1:5">
      <c r="A1148" s="4">
        <v>1146</v>
      </c>
      <c r="B1148" s="4" t="str">
        <f>"431720220806091614231228"</f>
        <v>431720220806091614231228</v>
      </c>
      <c r="C1148" s="5" t="s">
        <v>15</v>
      </c>
      <c r="D1148" s="4" t="str">
        <f>"林忠福"</f>
        <v>林忠福</v>
      </c>
      <c r="E1148" s="4" t="str">
        <f>"男"</f>
        <v>男</v>
      </c>
    </row>
    <row r="1149" customHeight="1" spans="1:5">
      <c r="A1149" s="4">
        <v>1147</v>
      </c>
      <c r="B1149" s="4" t="str">
        <f>"431720220806093327231285"</f>
        <v>431720220806093327231285</v>
      </c>
      <c r="C1149" s="5" t="s">
        <v>15</v>
      </c>
      <c r="D1149" s="4" t="str">
        <f>"邓雅丹"</f>
        <v>邓雅丹</v>
      </c>
      <c r="E1149" s="4" t="str">
        <f t="shared" ref="E1149:E1156" si="95">"女"</f>
        <v>女</v>
      </c>
    </row>
    <row r="1150" customHeight="1" spans="1:5">
      <c r="A1150" s="4">
        <v>1148</v>
      </c>
      <c r="B1150" s="4" t="str">
        <f>"431720220806095739231366"</f>
        <v>431720220806095739231366</v>
      </c>
      <c r="C1150" s="5" t="s">
        <v>15</v>
      </c>
      <c r="D1150" s="4" t="str">
        <f>"吴和月"</f>
        <v>吴和月</v>
      </c>
      <c r="E1150" s="4" t="str">
        <f t="shared" si="95"/>
        <v>女</v>
      </c>
    </row>
    <row r="1151" customHeight="1" spans="1:5">
      <c r="A1151" s="4">
        <v>1149</v>
      </c>
      <c r="B1151" s="4" t="str">
        <f>"431720220806101421231423"</f>
        <v>431720220806101421231423</v>
      </c>
      <c r="C1151" s="5" t="s">
        <v>15</v>
      </c>
      <c r="D1151" s="4" t="str">
        <f>"邓小转"</f>
        <v>邓小转</v>
      </c>
      <c r="E1151" s="4" t="str">
        <f t="shared" si="95"/>
        <v>女</v>
      </c>
    </row>
    <row r="1152" customHeight="1" spans="1:5">
      <c r="A1152" s="4">
        <v>1150</v>
      </c>
      <c r="B1152" s="4" t="str">
        <f>"431720220806101708231430"</f>
        <v>431720220806101708231430</v>
      </c>
      <c r="C1152" s="5" t="s">
        <v>15</v>
      </c>
      <c r="D1152" s="4" t="str">
        <f>"王梦露"</f>
        <v>王梦露</v>
      </c>
      <c r="E1152" s="4" t="str">
        <f t="shared" si="95"/>
        <v>女</v>
      </c>
    </row>
    <row r="1153" customHeight="1" spans="1:5">
      <c r="A1153" s="4">
        <v>1151</v>
      </c>
      <c r="B1153" s="4" t="str">
        <f>"431720220806104207231511"</f>
        <v>431720220806104207231511</v>
      </c>
      <c r="C1153" s="5" t="s">
        <v>15</v>
      </c>
      <c r="D1153" s="4" t="str">
        <f>"林妮妮"</f>
        <v>林妮妮</v>
      </c>
      <c r="E1153" s="4" t="str">
        <f t="shared" si="95"/>
        <v>女</v>
      </c>
    </row>
    <row r="1154" customHeight="1" spans="1:5">
      <c r="A1154" s="4">
        <v>1152</v>
      </c>
      <c r="B1154" s="4" t="str">
        <f>"431720220806110929231594"</f>
        <v>431720220806110929231594</v>
      </c>
      <c r="C1154" s="5" t="s">
        <v>15</v>
      </c>
      <c r="D1154" s="4" t="str">
        <f>"许杏菊"</f>
        <v>许杏菊</v>
      </c>
      <c r="E1154" s="4" t="str">
        <f t="shared" si="95"/>
        <v>女</v>
      </c>
    </row>
    <row r="1155" customHeight="1" spans="1:5">
      <c r="A1155" s="4">
        <v>1153</v>
      </c>
      <c r="B1155" s="4" t="str">
        <f>"431720220806111112231597"</f>
        <v>431720220806111112231597</v>
      </c>
      <c r="C1155" s="5" t="s">
        <v>15</v>
      </c>
      <c r="D1155" s="4" t="str">
        <f>"符春妹"</f>
        <v>符春妹</v>
      </c>
      <c r="E1155" s="4" t="str">
        <f t="shared" si="95"/>
        <v>女</v>
      </c>
    </row>
    <row r="1156" customHeight="1" spans="1:5">
      <c r="A1156" s="4">
        <v>1154</v>
      </c>
      <c r="B1156" s="4" t="str">
        <f>"431720220806112057231635"</f>
        <v>431720220806112057231635</v>
      </c>
      <c r="C1156" s="5" t="s">
        <v>15</v>
      </c>
      <c r="D1156" s="4" t="str">
        <f>"蒙绪娜"</f>
        <v>蒙绪娜</v>
      </c>
      <c r="E1156" s="4" t="str">
        <f t="shared" si="95"/>
        <v>女</v>
      </c>
    </row>
    <row r="1157" customHeight="1" spans="1:5">
      <c r="A1157" s="4">
        <v>1155</v>
      </c>
      <c r="B1157" s="4" t="str">
        <f>"431720220806112116231636"</f>
        <v>431720220806112116231636</v>
      </c>
      <c r="C1157" s="5" t="s">
        <v>15</v>
      </c>
      <c r="D1157" s="4" t="str">
        <f>"高伟"</f>
        <v>高伟</v>
      </c>
      <c r="E1157" s="4" t="str">
        <f>"男"</f>
        <v>男</v>
      </c>
    </row>
    <row r="1158" customHeight="1" spans="1:5">
      <c r="A1158" s="4">
        <v>1156</v>
      </c>
      <c r="B1158" s="4" t="str">
        <f>"431720220806112117231637"</f>
        <v>431720220806112117231637</v>
      </c>
      <c r="C1158" s="5" t="s">
        <v>15</v>
      </c>
      <c r="D1158" s="4" t="str">
        <f>"麦练鹏"</f>
        <v>麦练鹏</v>
      </c>
      <c r="E1158" s="4" t="str">
        <f>"男"</f>
        <v>男</v>
      </c>
    </row>
    <row r="1159" customHeight="1" spans="1:5">
      <c r="A1159" s="4">
        <v>1157</v>
      </c>
      <c r="B1159" s="4" t="str">
        <f>"431720220806113033231666"</f>
        <v>431720220806113033231666</v>
      </c>
      <c r="C1159" s="5" t="s">
        <v>15</v>
      </c>
      <c r="D1159" s="4" t="str">
        <f>"吴玉莹"</f>
        <v>吴玉莹</v>
      </c>
      <c r="E1159" s="4" t="str">
        <f t="shared" ref="E1159:E1162" si="96">"女"</f>
        <v>女</v>
      </c>
    </row>
    <row r="1160" customHeight="1" spans="1:5">
      <c r="A1160" s="4">
        <v>1158</v>
      </c>
      <c r="B1160" s="4" t="str">
        <f>"431720220806113932231688"</f>
        <v>431720220806113932231688</v>
      </c>
      <c r="C1160" s="5" t="s">
        <v>15</v>
      </c>
      <c r="D1160" s="4" t="str">
        <f>"翁克清"</f>
        <v>翁克清</v>
      </c>
      <c r="E1160" s="4" t="str">
        <f t="shared" si="96"/>
        <v>女</v>
      </c>
    </row>
    <row r="1161" customHeight="1" spans="1:5">
      <c r="A1161" s="4">
        <v>1159</v>
      </c>
      <c r="B1161" s="4" t="str">
        <f>"431720220806114314231699"</f>
        <v>431720220806114314231699</v>
      </c>
      <c r="C1161" s="5" t="s">
        <v>15</v>
      </c>
      <c r="D1161" s="4" t="str">
        <f>"杨梦选"</f>
        <v>杨梦选</v>
      </c>
      <c r="E1161" s="4" t="str">
        <f t="shared" si="96"/>
        <v>女</v>
      </c>
    </row>
    <row r="1162" customHeight="1" spans="1:5">
      <c r="A1162" s="4">
        <v>1160</v>
      </c>
      <c r="B1162" s="4" t="str">
        <f>"431720220806114649231715"</f>
        <v>431720220806114649231715</v>
      </c>
      <c r="C1162" s="5" t="s">
        <v>15</v>
      </c>
      <c r="D1162" s="4" t="str">
        <f>"文静"</f>
        <v>文静</v>
      </c>
      <c r="E1162" s="4" t="str">
        <f t="shared" si="96"/>
        <v>女</v>
      </c>
    </row>
    <row r="1163" customHeight="1" spans="1:5">
      <c r="A1163" s="4">
        <v>1161</v>
      </c>
      <c r="B1163" s="4" t="str">
        <f>"431720220806115530231740"</f>
        <v>431720220806115530231740</v>
      </c>
      <c r="C1163" s="5" t="s">
        <v>15</v>
      </c>
      <c r="D1163" s="4" t="str">
        <f>"陈彬旭"</f>
        <v>陈彬旭</v>
      </c>
      <c r="E1163" s="4" t="str">
        <f>"男"</f>
        <v>男</v>
      </c>
    </row>
    <row r="1164" customHeight="1" spans="1:5">
      <c r="A1164" s="4">
        <v>1162</v>
      </c>
      <c r="B1164" s="4" t="str">
        <f>"431720220806121259231790"</f>
        <v>431720220806121259231790</v>
      </c>
      <c r="C1164" s="5" t="s">
        <v>15</v>
      </c>
      <c r="D1164" s="4" t="str">
        <f>"符小梦"</f>
        <v>符小梦</v>
      </c>
      <c r="E1164" s="4" t="str">
        <f t="shared" ref="E1164:E1169" si="97">"女"</f>
        <v>女</v>
      </c>
    </row>
    <row r="1165" customHeight="1" spans="1:5">
      <c r="A1165" s="4">
        <v>1163</v>
      </c>
      <c r="B1165" s="4" t="str">
        <f>"431720220806122258231810"</f>
        <v>431720220806122258231810</v>
      </c>
      <c r="C1165" s="5" t="s">
        <v>15</v>
      </c>
      <c r="D1165" s="4" t="str">
        <f>"王广品"</f>
        <v>王广品</v>
      </c>
      <c r="E1165" s="4" t="str">
        <f>"男"</f>
        <v>男</v>
      </c>
    </row>
    <row r="1166" customHeight="1" spans="1:5">
      <c r="A1166" s="4">
        <v>1164</v>
      </c>
      <c r="B1166" s="4" t="str">
        <f>"431720220806122310231812"</f>
        <v>431720220806122310231812</v>
      </c>
      <c r="C1166" s="5" t="s">
        <v>15</v>
      </c>
      <c r="D1166" s="4" t="str">
        <f>"林冰"</f>
        <v>林冰</v>
      </c>
      <c r="E1166" s="4" t="str">
        <f t="shared" si="97"/>
        <v>女</v>
      </c>
    </row>
    <row r="1167" customHeight="1" spans="1:5">
      <c r="A1167" s="4">
        <v>1165</v>
      </c>
      <c r="B1167" s="4" t="str">
        <f>"431720220806122410231815"</f>
        <v>431720220806122410231815</v>
      </c>
      <c r="C1167" s="5" t="s">
        <v>15</v>
      </c>
      <c r="D1167" s="4" t="str">
        <f>"何欣欣"</f>
        <v>何欣欣</v>
      </c>
      <c r="E1167" s="4" t="str">
        <f t="shared" si="97"/>
        <v>女</v>
      </c>
    </row>
    <row r="1168" customHeight="1" spans="1:5">
      <c r="A1168" s="4">
        <v>1166</v>
      </c>
      <c r="B1168" s="4" t="str">
        <f>"431720220806125556231902"</f>
        <v>431720220806125556231902</v>
      </c>
      <c r="C1168" s="5" t="s">
        <v>15</v>
      </c>
      <c r="D1168" s="4" t="str">
        <f>"李凤永"</f>
        <v>李凤永</v>
      </c>
      <c r="E1168" s="4" t="str">
        <f t="shared" si="97"/>
        <v>女</v>
      </c>
    </row>
    <row r="1169" customHeight="1" spans="1:5">
      <c r="A1169" s="4">
        <v>1167</v>
      </c>
      <c r="B1169" s="4" t="str">
        <f>"431720220806130751231937"</f>
        <v>431720220806130751231937</v>
      </c>
      <c r="C1169" s="5" t="s">
        <v>15</v>
      </c>
      <c r="D1169" s="4" t="str">
        <f>"刘泽珊"</f>
        <v>刘泽珊</v>
      </c>
      <c r="E1169" s="4" t="str">
        <f t="shared" si="97"/>
        <v>女</v>
      </c>
    </row>
    <row r="1170" customHeight="1" spans="1:5">
      <c r="A1170" s="4">
        <v>1168</v>
      </c>
      <c r="B1170" s="4" t="str">
        <f>"431720220806131442231957"</f>
        <v>431720220806131442231957</v>
      </c>
      <c r="C1170" s="5" t="s">
        <v>15</v>
      </c>
      <c r="D1170" s="4" t="str">
        <f>"蔡仁智"</f>
        <v>蔡仁智</v>
      </c>
      <c r="E1170" s="4" t="str">
        <f>"男"</f>
        <v>男</v>
      </c>
    </row>
    <row r="1171" customHeight="1" spans="1:5">
      <c r="A1171" s="4">
        <v>1169</v>
      </c>
      <c r="B1171" s="4" t="str">
        <f>"431720220806143842232132"</f>
        <v>431720220806143842232132</v>
      </c>
      <c r="C1171" s="5" t="s">
        <v>15</v>
      </c>
      <c r="D1171" s="4" t="str">
        <f>"洪瑞雪"</f>
        <v>洪瑞雪</v>
      </c>
      <c r="E1171" s="4" t="str">
        <f t="shared" ref="E1171:E1175" si="98">"女"</f>
        <v>女</v>
      </c>
    </row>
    <row r="1172" customHeight="1" spans="1:5">
      <c r="A1172" s="4">
        <v>1170</v>
      </c>
      <c r="B1172" s="4" t="str">
        <f>"431720220806144003232138"</f>
        <v>431720220806144003232138</v>
      </c>
      <c r="C1172" s="5" t="s">
        <v>15</v>
      </c>
      <c r="D1172" s="4" t="str">
        <f>"周轩"</f>
        <v>周轩</v>
      </c>
      <c r="E1172" s="4" t="str">
        <f t="shared" si="98"/>
        <v>女</v>
      </c>
    </row>
    <row r="1173" customHeight="1" spans="1:5">
      <c r="A1173" s="4">
        <v>1171</v>
      </c>
      <c r="B1173" s="4" t="str">
        <f>"431720220806144709232156"</f>
        <v>431720220806144709232156</v>
      </c>
      <c r="C1173" s="5" t="s">
        <v>15</v>
      </c>
      <c r="D1173" s="4" t="str">
        <f>"吴佳倩"</f>
        <v>吴佳倩</v>
      </c>
      <c r="E1173" s="4" t="str">
        <f t="shared" si="98"/>
        <v>女</v>
      </c>
    </row>
    <row r="1174" customHeight="1" spans="1:5">
      <c r="A1174" s="4">
        <v>1172</v>
      </c>
      <c r="B1174" s="4" t="str">
        <f>"431720220806153341232245"</f>
        <v>431720220806153341232245</v>
      </c>
      <c r="C1174" s="5" t="s">
        <v>15</v>
      </c>
      <c r="D1174" s="4" t="str">
        <f>"符文慧"</f>
        <v>符文慧</v>
      </c>
      <c r="E1174" s="4" t="str">
        <f t="shared" si="98"/>
        <v>女</v>
      </c>
    </row>
    <row r="1175" customHeight="1" spans="1:5">
      <c r="A1175" s="4">
        <v>1173</v>
      </c>
      <c r="B1175" s="4" t="str">
        <f>"431720220806170643232435"</f>
        <v>431720220806170643232435</v>
      </c>
      <c r="C1175" s="5" t="s">
        <v>15</v>
      </c>
      <c r="D1175" s="4" t="str">
        <f>"梁雪君"</f>
        <v>梁雪君</v>
      </c>
      <c r="E1175" s="4" t="str">
        <f t="shared" si="98"/>
        <v>女</v>
      </c>
    </row>
    <row r="1176" customHeight="1" spans="1:5">
      <c r="A1176" s="4">
        <v>1174</v>
      </c>
      <c r="B1176" s="4" t="str">
        <f>"431720220806174225232504"</f>
        <v>431720220806174225232504</v>
      </c>
      <c r="C1176" s="5" t="s">
        <v>15</v>
      </c>
      <c r="D1176" s="4" t="str">
        <f>"黄庆民"</f>
        <v>黄庆民</v>
      </c>
      <c r="E1176" s="4" t="str">
        <f>"男"</f>
        <v>男</v>
      </c>
    </row>
    <row r="1177" customHeight="1" spans="1:5">
      <c r="A1177" s="4">
        <v>1175</v>
      </c>
      <c r="B1177" s="4" t="str">
        <f>"431720220806174705232508"</f>
        <v>431720220806174705232508</v>
      </c>
      <c r="C1177" s="5" t="s">
        <v>15</v>
      </c>
      <c r="D1177" s="4" t="str">
        <f>"秦晓夏"</f>
        <v>秦晓夏</v>
      </c>
      <c r="E1177" s="4" t="str">
        <f t="shared" ref="E1177:E1181" si="99">"女"</f>
        <v>女</v>
      </c>
    </row>
    <row r="1178" customHeight="1" spans="1:5">
      <c r="A1178" s="4">
        <v>1176</v>
      </c>
      <c r="B1178" s="4" t="str">
        <f>"431720220806183536232565"</f>
        <v>431720220806183536232565</v>
      </c>
      <c r="C1178" s="5" t="s">
        <v>15</v>
      </c>
      <c r="D1178" s="4" t="str">
        <f>"吴桃坤"</f>
        <v>吴桃坤</v>
      </c>
      <c r="E1178" s="4" t="str">
        <f t="shared" si="99"/>
        <v>女</v>
      </c>
    </row>
    <row r="1179" customHeight="1" spans="1:5">
      <c r="A1179" s="4">
        <v>1177</v>
      </c>
      <c r="B1179" s="4" t="str">
        <f>"431720220806193107232613"</f>
        <v>431720220806193107232613</v>
      </c>
      <c r="C1179" s="5" t="s">
        <v>15</v>
      </c>
      <c r="D1179" s="4" t="str">
        <f>"张瑞传"</f>
        <v>张瑞传</v>
      </c>
      <c r="E1179" s="4" t="str">
        <f>"男"</f>
        <v>男</v>
      </c>
    </row>
    <row r="1180" customHeight="1" spans="1:5">
      <c r="A1180" s="4">
        <v>1178</v>
      </c>
      <c r="B1180" s="4" t="str">
        <f>"431720220806193629232619"</f>
        <v>431720220806193629232619</v>
      </c>
      <c r="C1180" s="5" t="s">
        <v>15</v>
      </c>
      <c r="D1180" s="4" t="str">
        <f>"李青丽"</f>
        <v>李青丽</v>
      </c>
      <c r="E1180" s="4" t="str">
        <f t="shared" si="99"/>
        <v>女</v>
      </c>
    </row>
    <row r="1181" customHeight="1" spans="1:5">
      <c r="A1181" s="4">
        <v>1179</v>
      </c>
      <c r="B1181" s="4" t="str">
        <f>"431720220806193631232620"</f>
        <v>431720220806193631232620</v>
      </c>
      <c r="C1181" s="5" t="s">
        <v>15</v>
      </c>
      <c r="D1181" s="4" t="str">
        <f>"张梅"</f>
        <v>张梅</v>
      </c>
      <c r="E1181" s="4" t="str">
        <f t="shared" si="99"/>
        <v>女</v>
      </c>
    </row>
    <row r="1182" customHeight="1" spans="1:5">
      <c r="A1182" s="4">
        <v>1180</v>
      </c>
      <c r="B1182" s="4" t="str">
        <f>"431720220806193824232623"</f>
        <v>431720220806193824232623</v>
      </c>
      <c r="C1182" s="5" t="s">
        <v>15</v>
      </c>
      <c r="D1182" s="4" t="str">
        <f>"王麟江"</f>
        <v>王麟江</v>
      </c>
      <c r="E1182" s="4" t="str">
        <f>"男"</f>
        <v>男</v>
      </c>
    </row>
    <row r="1183" customHeight="1" spans="1:5">
      <c r="A1183" s="4">
        <v>1181</v>
      </c>
      <c r="B1183" s="4" t="str">
        <f>"431720220806194313232634"</f>
        <v>431720220806194313232634</v>
      </c>
      <c r="C1183" s="5" t="s">
        <v>15</v>
      </c>
      <c r="D1183" s="4" t="str">
        <f>"李冰虹"</f>
        <v>李冰虹</v>
      </c>
      <c r="E1183" s="4" t="str">
        <f t="shared" ref="E1183:E1187" si="100">"女"</f>
        <v>女</v>
      </c>
    </row>
    <row r="1184" customHeight="1" spans="1:5">
      <c r="A1184" s="4">
        <v>1182</v>
      </c>
      <c r="B1184" s="4" t="str">
        <f>"431720220806202917232697"</f>
        <v>431720220806202917232697</v>
      </c>
      <c r="C1184" s="5" t="s">
        <v>15</v>
      </c>
      <c r="D1184" s="4" t="str">
        <f>"王潇潇"</f>
        <v>王潇潇</v>
      </c>
      <c r="E1184" s="4" t="str">
        <f t="shared" si="100"/>
        <v>女</v>
      </c>
    </row>
    <row r="1185" customHeight="1" spans="1:5">
      <c r="A1185" s="4">
        <v>1183</v>
      </c>
      <c r="B1185" s="4" t="str">
        <f>"431720220806210233232728"</f>
        <v>431720220806210233232728</v>
      </c>
      <c r="C1185" s="5" t="s">
        <v>15</v>
      </c>
      <c r="D1185" s="4" t="str">
        <f>"朱乃惠"</f>
        <v>朱乃惠</v>
      </c>
      <c r="E1185" s="4" t="str">
        <f t="shared" si="100"/>
        <v>女</v>
      </c>
    </row>
    <row r="1186" customHeight="1" spans="1:5">
      <c r="A1186" s="4">
        <v>1184</v>
      </c>
      <c r="B1186" s="4" t="str">
        <f>"431720220806210507232729"</f>
        <v>431720220806210507232729</v>
      </c>
      <c r="C1186" s="5" t="s">
        <v>15</v>
      </c>
      <c r="D1186" s="4" t="str">
        <f>"陈翠红"</f>
        <v>陈翠红</v>
      </c>
      <c r="E1186" s="4" t="str">
        <f t="shared" si="100"/>
        <v>女</v>
      </c>
    </row>
    <row r="1187" customHeight="1" spans="1:5">
      <c r="A1187" s="4">
        <v>1185</v>
      </c>
      <c r="B1187" s="4" t="str">
        <f>"431720220806211141232737"</f>
        <v>431720220806211141232737</v>
      </c>
      <c r="C1187" s="5" t="s">
        <v>15</v>
      </c>
      <c r="D1187" s="4" t="str">
        <f>"郑诗颜子"</f>
        <v>郑诗颜子</v>
      </c>
      <c r="E1187" s="4" t="str">
        <f t="shared" si="100"/>
        <v>女</v>
      </c>
    </row>
    <row r="1188" customHeight="1" spans="1:5">
      <c r="A1188" s="4">
        <v>1186</v>
      </c>
      <c r="B1188" s="4" t="str">
        <f>"431720220806213215232752"</f>
        <v>431720220806213215232752</v>
      </c>
      <c r="C1188" s="5" t="s">
        <v>15</v>
      </c>
      <c r="D1188" s="4" t="str">
        <f>"黄传翔"</f>
        <v>黄传翔</v>
      </c>
      <c r="E1188" s="4" t="str">
        <f>"男"</f>
        <v>男</v>
      </c>
    </row>
    <row r="1189" customHeight="1" spans="1:5">
      <c r="A1189" s="4">
        <v>1187</v>
      </c>
      <c r="B1189" s="4" t="str">
        <f>"431720220806214204232764"</f>
        <v>431720220806214204232764</v>
      </c>
      <c r="C1189" s="5" t="s">
        <v>15</v>
      </c>
      <c r="D1189" s="4" t="str">
        <f>"李三梅"</f>
        <v>李三梅</v>
      </c>
      <c r="E1189" s="4" t="str">
        <f t="shared" ref="E1189:E1199" si="101">"女"</f>
        <v>女</v>
      </c>
    </row>
    <row r="1190" customHeight="1" spans="1:5">
      <c r="A1190" s="4">
        <v>1188</v>
      </c>
      <c r="B1190" s="4" t="str">
        <f>"431720220806214211232765"</f>
        <v>431720220806214211232765</v>
      </c>
      <c r="C1190" s="5" t="s">
        <v>15</v>
      </c>
      <c r="D1190" s="4" t="str">
        <f>"周儒"</f>
        <v>周儒</v>
      </c>
      <c r="E1190" s="4" t="str">
        <f t="shared" si="101"/>
        <v>女</v>
      </c>
    </row>
    <row r="1191" customHeight="1" spans="1:5">
      <c r="A1191" s="4">
        <v>1189</v>
      </c>
      <c r="B1191" s="4" t="str">
        <f>"431720220806215709232783"</f>
        <v>431720220806215709232783</v>
      </c>
      <c r="C1191" s="5" t="s">
        <v>15</v>
      </c>
      <c r="D1191" s="4" t="str">
        <f>"李燕"</f>
        <v>李燕</v>
      </c>
      <c r="E1191" s="4" t="str">
        <f t="shared" si="101"/>
        <v>女</v>
      </c>
    </row>
    <row r="1192" customHeight="1" spans="1:5">
      <c r="A1192" s="4">
        <v>1190</v>
      </c>
      <c r="B1192" s="4" t="str">
        <f>"431720220806230256232833"</f>
        <v>431720220806230256232833</v>
      </c>
      <c r="C1192" s="5" t="s">
        <v>15</v>
      </c>
      <c r="D1192" s="4" t="str">
        <f>"麦金丽"</f>
        <v>麦金丽</v>
      </c>
      <c r="E1192" s="4" t="str">
        <f t="shared" si="101"/>
        <v>女</v>
      </c>
    </row>
    <row r="1193" customHeight="1" spans="1:5">
      <c r="A1193" s="4">
        <v>1191</v>
      </c>
      <c r="B1193" s="4" t="str">
        <f>"431720220807022558232893"</f>
        <v>431720220807022558232893</v>
      </c>
      <c r="C1193" s="5" t="s">
        <v>15</v>
      </c>
      <c r="D1193" s="4" t="str">
        <f>"林娟"</f>
        <v>林娟</v>
      </c>
      <c r="E1193" s="4" t="str">
        <f t="shared" si="101"/>
        <v>女</v>
      </c>
    </row>
    <row r="1194" customHeight="1" spans="1:5">
      <c r="A1194" s="4">
        <v>1192</v>
      </c>
      <c r="B1194" s="4" t="str">
        <f>"431720220807075557232915"</f>
        <v>431720220807075557232915</v>
      </c>
      <c r="C1194" s="5" t="s">
        <v>15</v>
      </c>
      <c r="D1194" s="4" t="str">
        <f>"王丽秧"</f>
        <v>王丽秧</v>
      </c>
      <c r="E1194" s="4" t="str">
        <f t="shared" si="101"/>
        <v>女</v>
      </c>
    </row>
    <row r="1195" customHeight="1" spans="1:5">
      <c r="A1195" s="4">
        <v>1193</v>
      </c>
      <c r="B1195" s="4" t="str">
        <f>"431720220807090455232955"</f>
        <v>431720220807090455232955</v>
      </c>
      <c r="C1195" s="5" t="s">
        <v>15</v>
      </c>
      <c r="D1195" s="4" t="str">
        <f>"陈秋月"</f>
        <v>陈秋月</v>
      </c>
      <c r="E1195" s="4" t="str">
        <f t="shared" si="101"/>
        <v>女</v>
      </c>
    </row>
    <row r="1196" customHeight="1" spans="1:5">
      <c r="A1196" s="4">
        <v>1194</v>
      </c>
      <c r="B1196" s="4" t="str">
        <f>"431720220807100520233008"</f>
        <v>431720220807100520233008</v>
      </c>
      <c r="C1196" s="5" t="s">
        <v>15</v>
      </c>
      <c r="D1196" s="4" t="str">
        <f>"简金桃"</f>
        <v>简金桃</v>
      </c>
      <c r="E1196" s="4" t="str">
        <f t="shared" si="101"/>
        <v>女</v>
      </c>
    </row>
    <row r="1197" customHeight="1" spans="1:5">
      <c r="A1197" s="4">
        <v>1195</v>
      </c>
      <c r="B1197" s="4" t="str">
        <f>"431720220807105415233065"</f>
        <v>431720220807105415233065</v>
      </c>
      <c r="C1197" s="5" t="s">
        <v>15</v>
      </c>
      <c r="D1197" s="4" t="str">
        <f>"许翠叶"</f>
        <v>许翠叶</v>
      </c>
      <c r="E1197" s="4" t="str">
        <f t="shared" si="101"/>
        <v>女</v>
      </c>
    </row>
    <row r="1198" customHeight="1" spans="1:5">
      <c r="A1198" s="4">
        <v>1196</v>
      </c>
      <c r="B1198" s="4" t="str">
        <f>"431720220807113940233100"</f>
        <v>431720220807113940233100</v>
      </c>
      <c r="C1198" s="5" t="s">
        <v>15</v>
      </c>
      <c r="D1198" s="4" t="str">
        <f>"符桂秋"</f>
        <v>符桂秋</v>
      </c>
      <c r="E1198" s="4" t="str">
        <f t="shared" si="101"/>
        <v>女</v>
      </c>
    </row>
    <row r="1199" customHeight="1" spans="1:5">
      <c r="A1199" s="4">
        <v>1197</v>
      </c>
      <c r="B1199" s="4" t="str">
        <f>"431720220807114536233109"</f>
        <v>431720220807114536233109</v>
      </c>
      <c r="C1199" s="5" t="s">
        <v>15</v>
      </c>
      <c r="D1199" s="4" t="str">
        <f>"王晓"</f>
        <v>王晓</v>
      </c>
      <c r="E1199" s="4" t="str">
        <f t="shared" si="101"/>
        <v>女</v>
      </c>
    </row>
    <row r="1200" customHeight="1" spans="1:5">
      <c r="A1200" s="4">
        <v>1198</v>
      </c>
      <c r="B1200" s="4" t="str">
        <f>"431720220807123305233158"</f>
        <v>431720220807123305233158</v>
      </c>
      <c r="C1200" s="5" t="s">
        <v>15</v>
      </c>
      <c r="D1200" s="4" t="str">
        <f>"沈永贤"</f>
        <v>沈永贤</v>
      </c>
      <c r="E1200" s="4" t="str">
        <f>"男"</f>
        <v>男</v>
      </c>
    </row>
    <row r="1201" customHeight="1" spans="1:5">
      <c r="A1201" s="4">
        <v>1199</v>
      </c>
      <c r="B1201" s="4" t="str">
        <f>"431720220807125332233173"</f>
        <v>431720220807125332233173</v>
      </c>
      <c r="C1201" s="5" t="s">
        <v>15</v>
      </c>
      <c r="D1201" s="4" t="str">
        <f>"邢伙娇"</f>
        <v>邢伙娇</v>
      </c>
      <c r="E1201" s="4" t="str">
        <f t="shared" ref="E1201:E1204" si="102">"女"</f>
        <v>女</v>
      </c>
    </row>
    <row r="1202" customHeight="1" spans="1:5">
      <c r="A1202" s="4">
        <v>1200</v>
      </c>
      <c r="B1202" s="4" t="str">
        <f>"431720220807142426233257"</f>
        <v>431720220807142426233257</v>
      </c>
      <c r="C1202" s="5" t="s">
        <v>15</v>
      </c>
      <c r="D1202" s="4" t="str">
        <f>"曾祥凤"</f>
        <v>曾祥凤</v>
      </c>
      <c r="E1202" s="4" t="str">
        <f t="shared" si="102"/>
        <v>女</v>
      </c>
    </row>
    <row r="1203" customHeight="1" spans="1:5">
      <c r="A1203" s="4">
        <v>1201</v>
      </c>
      <c r="B1203" s="4" t="str">
        <f>"431720220807151736233309"</f>
        <v>431720220807151736233309</v>
      </c>
      <c r="C1203" s="5" t="s">
        <v>15</v>
      </c>
      <c r="D1203" s="4" t="str">
        <f>"王秀明"</f>
        <v>王秀明</v>
      </c>
      <c r="E1203" s="4" t="str">
        <f t="shared" si="102"/>
        <v>女</v>
      </c>
    </row>
    <row r="1204" customHeight="1" spans="1:5">
      <c r="A1204" s="4">
        <v>1202</v>
      </c>
      <c r="B1204" s="4" t="str">
        <f>"431720220807153218233324"</f>
        <v>431720220807153218233324</v>
      </c>
      <c r="C1204" s="5" t="s">
        <v>15</v>
      </c>
      <c r="D1204" s="4" t="str">
        <f>"林方敏"</f>
        <v>林方敏</v>
      </c>
      <c r="E1204" s="4" t="str">
        <f t="shared" si="102"/>
        <v>女</v>
      </c>
    </row>
    <row r="1205" customHeight="1" spans="1:5">
      <c r="A1205" s="4">
        <v>1203</v>
      </c>
      <c r="B1205" s="4" t="str">
        <f>"431720220807173423233462"</f>
        <v>431720220807173423233462</v>
      </c>
      <c r="C1205" s="5" t="s">
        <v>15</v>
      </c>
      <c r="D1205" s="4" t="str">
        <f>"吴恒永"</f>
        <v>吴恒永</v>
      </c>
      <c r="E1205" s="4" t="str">
        <f t="shared" ref="E1205:E1208" si="103">"男"</f>
        <v>男</v>
      </c>
    </row>
    <row r="1206" customHeight="1" spans="1:5">
      <c r="A1206" s="4">
        <v>1204</v>
      </c>
      <c r="B1206" s="4" t="str">
        <f>"431720220807181653233491"</f>
        <v>431720220807181653233491</v>
      </c>
      <c r="C1206" s="5" t="s">
        <v>15</v>
      </c>
      <c r="D1206" s="4" t="str">
        <f>"梁振超"</f>
        <v>梁振超</v>
      </c>
      <c r="E1206" s="4" t="str">
        <f t="shared" si="103"/>
        <v>男</v>
      </c>
    </row>
    <row r="1207" customHeight="1" spans="1:5">
      <c r="A1207" s="4">
        <v>1205</v>
      </c>
      <c r="B1207" s="4" t="str">
        <f>"431720220807203852233567"</f>
        <v>431720220807203852233567</v>
      </c>
      <c r="C1207" s="5" t="s">
        <v>15</v>
      </c>
      <c r="D1207" s="4" t="str">
        <f>"陈如"</f>
        <v>陈如</v>
      </c>
      <c r="E1207" s="4" t="str">
        <f t="shared" ref="E1207:E1212" si="104">"女"</f>
        <v>女</v>
      </c>
    </row>
    <row r="1208" customHeight="1" spans="1:5">
      <c r="A1208" s="4">
        <v>1206</v>
      </c>
      <c r="B1208" s="4" t="str">
        <f>"431720220807211056233585"</f>
        <v>431720220807211056233585</v>
      </c>
      <c r="C1208" s="5" t="s">
        <v>15</v>
      </c>
      <c r="D1208" s="4" t="str">
        <f>"羊良松"</f>
        <v>羊良松</v>
      </c>
      <c r="E1208" s="4" t="str">
        <f t="shared" si="103"/>
        <v>男</v>
      </c>
    </row>
    <row r="1209" customHeight="1" spans="1:5">
      <c r="A1209" s="4">
        <v>1207</v>
      </c>
      <c r="B1209" s="4" t="str">
        <f>"431720220807224455233648"</f>
        <v>431720220807224455233648</v>
      </c>
      <c r="C1209" s="5" t="s">
        <v>15</v>
      </c>
      <c r="D1209" s="4" t="str">
        <f>"陈速"</f>
        <v>陈速</v>
      </c>
      <c r="E1209" s="4" t="str">
        <f t="shared" si="104"/>
        <v>女</v>
      </c>
    </row>
    <row r="1210" customHeight="1" spans="1:5">
      <c r="A1210" s="4">
        <v>1208</v>
      </c>
      <c r="B1210" s="4" t="str">
        <f>"431720220808001302233677"</f>
        <v>431720220808001302233677</v>
      </c>
      <c r="C1210" s="5" t="s">
        <v>15</v>
      </c>
      <c r="D1210" s="4" t="str">
        <f>"蔡雨昕"</f>
        <v>蔡雨昕</v>
      </c>
      <c r="E1210" s="4" t="str">
        <f t="shared" si="104"/>
        <v>女</v>
      </c>
    </row>
    <row r="1211" customHeight="1" spans="1:5">
      <c r="A1211" s="4">
        <v>1209</v>
      </c>
      <c r="B1211" s="4" t="str">
        <f>"431720220808003107233681"</f>
        <v>431720220808003107233681</v>
      </c>
      <c r="C1211" s="5" t="s">
        <v>15</v>
      </c>
      <c r="D1211" s="4" t="str">
        <f>"吴海曼"</f>
        <v>吴海曼</v>
      </c>
      <c r="E1211" s="4" t="str">
        <f t="shared" si="104"/>
        <v>女</v>
      </c>
    </row>
    <row r="1212" customHeight="1" spans="1:5">
      <c r="A1212" s="4">
        <v>1210</v>
      </c>
      <c r="B1212" s="4" t="str">
        <f>"431720220808004047233682"</f>
        <v>431720220808004047233682</v>
      </c>
      <c r="C1212" s="5" t="s">
        <v>15</v>
      </c>
      <c r="D1212" s="4" t="str">
        <f>"文红梅"</f>
        <v>文红梅</v>
      </c>
      <c r="E1212" s="4" t="str">
        <f t="shared" si="104"/>
        <v>女</v>
      </c>
    </row>
    <row r="1213" customHeight="1" spans="1:5">
      <c r="A1213" s="4">
        <v>1211</v>
      </c>
      <c r="B1213" s="4" t="str">
        <f>"431720220808080548233706"</f>
        <v>431720220808080548233706</v>
      </c>
      <c r="C1213" s="5" t="s">
        <v>15</v>
      </c>
      <c r="D1213" s="4" t="str">
        <f>"黎永树"</f>
        <v>黎永树</v>
      </c>
      <c r="E1213" s="4" t="str">
        <f>"男"</f>
        <v>男</v>
      </c>
    </row>
    <row r="1214" customHeight="1" spans="1:5">
      <c r="A1214" s="4">
        <v>1212</v>
      </c>
      <c r="B1214" s="4" t="str">
        <f>"431720220808092648234188"</f>
        <v>431720220808092648234188</v>
      </c>
      <c r="C1214" s="5" t="s">
        <v>15</v>
      </c>
      <c r="D1214" s="4" t="str">
        <f>"黎木香"</f>
        <v>黎木香</v>
      </c>
      <c r="E1214" s="4" t="str">
        <f t="shared" ref="E1214:E1226" si="105">"女"</f>
        <v>女</v>
      </c>
    </row>
    <row r="1215" customHeight="1" spans="1:5">
      <c r="A1215" s="4">
        <v>1213</v>
      </c>
      <c r="B1215" s="4" t="str">
        <f>"431720220808093836234294"</f>
        <v>431720220808093836234294</v>
      </c>
      <c r="C1215" s="5" t="s">
        <v>15</v>
      </c>
      <c r="D1215" s="4" t="str">
        <f>"杨炳坚"</f>
        <v>杨炳坚</v>
      </c>
      <c r="E1215" s="4" t="str">
        <f>"男"</f>
        <v>男</v>
      </c>
    </row>
    <row r="1216" customHeight="1" spans="1:5">
      <c r="A1216" s="4">
        <v>1214</v>
      </c>
      <c r="B1216" s="4" t="str">
        <f>"431720220808103248234639"</f>
        <v>431720220808103248234639</v>
      </c>
      <c r="C1216" s="5" t="s">
        <v>15</v>
      </c>
      <c r="D1216" s="4" t="str">
        <f>"冯青桢"</f>
        <v>冯青桢</v>
      </c>
      <c r="E1216" s="4" t="str">
        <f t="shared" si="105"/>
        <v>女</v>
      </c>
    </row>
    <row r="1217" customHeight="1" spans="1:5">
      <c r="A1217" s="4">
        <v>1215</v>
      </c>
      <c r="B1217" s="4" t="str">
        <f>"431720220808104812234743"</f>
        <v>431720220808104812234743</v>
      </c>
      <c r="C1217" s="5" t="s">
        <v>15</v>
      </c>
      <c r="D1217" s="4" t="str">
        <f>"林小南"</f>
        <v>林小南</v>
      </c>
      <c r="E1217" s="4" t="str">
        <f t="shared" si="105"/>
        <v>女</v>
      </c>
    </row>
    <row r="1218" customHeight="1" spans="1:5">
      <c r="A1218" s="4">
        <v>1216</v>
      </c>
      <c r="B1218" s="4" t="str">
        <f>"431720220808114858235009"</f>
        <v>431720220808114858235009</v>
      </c>
      <c r="C1218" s="5" t="s">
        <v>15</v>
      </c>
      <c r="D1218" s="4" t="str">
        <f>"潘天雪"</f>
        <v>潘天雪</v>
      </c>
      <c r="E1218" s="4" t="str">
        <f t="shared" si="105"/>
        <v>女</v>
      </c>
    </row>
    <row r="1219" customHeight="1" spans="1:5">
      <c r="A1219" s="4">
        <v>1217</v>
      </c>
      <c r="B1219" s="4" t="str">
        <f>"431720220808120846235094"</f>
        <v>431720220808120846235094</v>
      </c>
      <c r="C1219" s="5" t="s">
        <v>15</v>
      </c>
      <c r="D1219" s="4" t="str">
        <f>"辛敏"</f>
        <v>辛敏</v>
      </c>
      <c r="E1219" s="4" t="str">
        <f t="shared" si="105"/>
        <v>女</v>
      </c>
    </row>
    <row r="1220" customHeight="1" spans="1:5">
      <c r="A1220" s="4">
        <v>1218</v>
      </c>
      <c r="B1220" s="4" t="str">
        <f>"431720220808123322235179"</f>
        <v>431720220808123322235179</v>
      </c>
      <c r="C1220" s="5" t="s">
        <v>15</v>
      </c>
      <c r="D1220" s="4" t="str">
        <f>"梁君"</f>
        <v>梁君</v>
      </c>
      <c r="E1220" s="4" t="str">
        <f t="shared" si="105"/>
        <v>女</v>
      </c>
    </row>
    <row r="1221" customHeight="1" spans="1:5">
      <c r="A1221" s="4">
        <v>1219</v>
      </c>
      <c r="B1221" s="4" t="str">
        <f>"431720220808134656235402"</f>
        <v>431720220808134656235402</v>
      </c>
      <c r="C1221" s="5" t="s">
        <v>15</v>
      </c>
      <c r="D1221" s="4" t="str">
        <f>"崔馨乙"</f>
        <v>崔馨乙</v>
      </c>
      <c r="E1221" s="4" t="str">
        <f t="shared" si="105"/>
        <v>女</v>
      </c>
    </row>
    <row r="1222" customHeight="1" spans="1:5">
      <c r="A1222" s="4">
        <v>1220</v>
      </c>
      <c r="B1222" s="4" t="str">
        <f>"431720220808140713235450"</f>
        <v>431720220808140713235450</v>
      </c>
      <c r="C1222" s="5" t="s">
        <v>15</v>
      </c>
      <c r="D1222" s="4" t="str">
        <f>"陈育琳"</f>
        <v>陈育琳</v>
      </c>
      <c r="E1222" s="4" t="str">
        <f t="shared" si="105"/>
        <v>女</v>
      </c>
    </row>
    <row r="1223" customHeight="1" spans="1:5">
      <c r="A1223" s="4">
        <v>1221</v>
      </c>
      <c r="B1223" s="4" t="str">
        <f>"431720220808151329235638"</f>
        <v>431720220808151329235638</v>
      </c>
      <c r="C1223" s="5" t="s">
        <v>15</v>
      </c>
      <c r="D1223" s="4" t="str">
        <f>"洪新蕊"</f>
        <v>洪新蕊</v>
      </c>
      <c r="E1223" s="4" t="str">
        <f t="shared" si="105"/>
        <v>女</v>
      </c>
    </row>
    <row r="1224" customHeight="1" spans="1:5">
      <c r="A1224" s="4">
        <v>1222</v>
      </c>
      <c r="B1224" s="4" t="str">
        <f>"431720220808155119235774"</f>
        <v>431720220808155119235774</v>
      </c>
      <c r="C1224" s="5" t="s">
        <v>15</v>
      </c>
      <c r="D1224" s="4" t="str">
        <f>"王艳可"</f>
        <v>王艳可</v>
      </c>
      <c r="E1224" s="4" t="str">
        <f t="shared" si="105"/>
        <v>女</v>
      </c>
    </row>
    <row r="1225" customHeight="1" spans="1:5">
      <c r="A1225" s="4">
        <v>1223</v>
      </c>
      <c r="B1225" s="4" t="str">
        <f>"431720220808170652236022"</f>
        <v>431720220808170652236022</v>
      </c>
      <c r="C1225" s="5" t="s">
        <v>15</v>
      </c>
      <c r="D1225" s="4" t="str">
        <f>"曾学青"</f>
        <v>曾学青</v>
      </c>
      <c r="E1225" s="4" t="str">
        <f t="shared" si="105"/>
        <v>女</v>
      </c>
    </row>
    <row r="1226" customHeight="1" spans="1:5">
      <c r="A1226" s="4">
        <v>1224</v>
      </c>
      <c r="B1226" s="4" t="str">
        <f>"431720220808171208236043"</f>
        <v>431720220808171208236043</v>
      </c>
      <c r="C1226" s="5" t="s">
        <v>15</v>
      </c>
      <c r="D1226" s="4" t="str">
        <f>"韦盛"</f>
        <v>韦盛</v>
      </c>
      <c r="E1226" s="4" t="str">
        <f t="shared" si="105"/>
        <v>女</v>
      </c>
    </row>
    <row r="1227" customHeight="1" spans="1:5">
      <c r="A1227" s="4">
        <v>1225</v>
      </c>
      <c r="B1227" s="4" t="str">
        <f>"431720220808171814236063"</f>
        <v>431720220808171814236063</v>
      </c>
      <c r="C1227" s="5" t="s">
        <v>15</v>
      </c>
      <c r="D1227" s="4" t="str">
        <f>"李君位"</f>
        <v>李君位</v>
      </c>
      <c r="E1227" s="4" t="str">
        <f t="shared" ref="E1227:E1231" si="106">"男"</f>
        <v>男</v>
      </c>
    </row>
    <row r="1228" customHeight="1" spans="1:5">
      <c r="A1228" s="4">
        <v>1226</v>
      </c>
      <c r="B1228" s="4" t="str">
        <f>"431720220808182651236242"</f>
        <v>431720220808182651236242</v>
      </c>
      <c r="C1228" s="5" t="s">
        <v>15</v>
      </c>
      <c r="D1228" s="4" t="str">
        <f>"董慧果"</f>
        <v>董慧果</v>
      </c>
      <c r="E1228" s="4" t="str">
        <f t="shared" ref="E1228:E1240" si="107">"女"</f>
        <v>女</v>
      </c>
    </row>
    <row r="1229" customHeight="1" spans="1:5">
      <c r="A1229" s="4">
        <v>1227</v>
      </c>
      <c r="B1229" s="4" t="str">
        <f>"431720220808184532236289"</f>
        <v>431720220808184532236289</v>
      </c>
      <c r="C1229" s="5" t="s">
        <v>15</v>
      </c>
      <c r="D1229" s="4" t="str">
        <f>"王子洁"</f>
        <v>王子洁</v>
      </c>
      <c r="E1229" s="4" t="str">
        <f t="shared" si="107"/>
        <v>女</v>
      </c>
    </row>
    <row r="1230" customHeight="1" spans="1:5">
      <c r="A1230" s="4">
        <v>1228</v>
      </c>
      <c r="B1230" s="4" t="str">
        <f>"431720220808190152236328"</f>
        <v>431720220808190152236328</v>
      </c>
      <c r="C1230" s="5" t="s">
        <v>15</v>
      </c>
      <c r="D1230" s="4" t="str">
        <f>"吴仁超"</f>
        <v>吴仁超</v>
      </c>
      <c r="E1230" s="4" t="str">
        <f t="shared" si="106"/>
        <v>男</v>
      </c>
    </row>
    <row r="1231" customHeight="1" spans="1:5">
      <c r="A1231" s="4">
        <v>1229</v>
      </c>
      <c r="B1231" s="4" t="str">
        <f>"431720220808193800236416"</f>
        <v>431720220808193800236416</v>
      </c>
      <c r="C1231" s="5" t="s">
        <v>15</v>
      </c>
      <c r="D1231" s="4" t="str">
        <f>"谢是良"</f>
        <v>谢是良</v>
      </c>
      <c r="E1231" s="4" t="str">
        <f t="shared" si="106"/>
        <v>男</v>
      </c>
    </row>
    <row r="1232" customHeight="1" spans="1:5">
      <c r="A1232" s="4">
        <v>1230</v>
      </c>
      <c r="B1232" s="4" t="str">
        <f>"431720220808205936236614"</f>
        <v>431720220808205936236614</v>
      </c>
      <c r="C1232" s="5" t="s">
        <v>15</v>
      </c>
      <c r="D1232" s="4" t="str">
        <f>"罗威威"</f>
        <v>罗威威</v>
      </c>
      <c r="E1232" s="4" t="str">
        <f t="shared" si="107"/>
        <v>女</v>
      </c>
    </row>
    <row r="1233" customHeight="1" spans="1:5">
      <c r="A1233" s="4">
        <v>1231</v>
      </c>
      <c r="B1233" s="4" t="str">
        <f>"431720220808215421236771"</f>
        <v>431720220808215421236771</v>
      </c>
      <c r="C1233" s="5" t="s">
        <v>15</v>
      </c>
      <c r="D1233" s="4" t="str">
        <f>"黄灵敏"</f>
        <v>黄灵敏</v>
      </c>
      <c r="E1233" s="4" t="str">
        <f t="shared" si="107"/>
        <v>女</v>
      </c>
    </row>
    <row r="1234" customHeight="1" spans="1:5">
      <c r="A1234" s="4">
        <v>1232</v>
      </c>
      <c r="B1234" s="4" t="str">
        <f>"431720220808230115236892"</f>
        <v>431720220808230115236892</v>
      </c>
      <c r="C1234" s="5" t="s">
        <v>15</v>
      </c>
      <c r="D1234" s="4" t="str">
        <f>"李冬香"</f>
        <v>李冬香</v>
      </c>
      <c r="E1234" s="4" t="str">
        <f t="shared" si="107"/>
        <v>女</v>
      </c>
    </row>
    <row r="1235" customHeight="1" spans="1:5">
      <c r="A1235" s="4">
        <v>1233</v>
      </c>
      <c r="B1235" s="4" t="str">
        <f>"431720220809092704237258"</f>
        <v>431720220809092704237258</v>
      </c>
      <c r="C1235" s="5" t="s">
        <v>15</v>
      </c>
      <c r="D1235" s="4" t="str">
        <f>"邓丹花"</f>
        <v>邓丹花</v>
      </c>
      <c r="E1235" s="4" t="str">
        <f t="shared" si="107"/>
        <v>女</v>
      </c>
    </row>
    <row r="1236" customHeight="1" spans="1:5">
      <c r="A1236" s="4">
        <v>1234</v>
      </c>
      <c r="B1236" s="4" t="str">
        <f>"431720220809105030237528"</f>
        <v>431720220809105030237528</v>
      </c>
      <c r="C1236" s="5" t="s">
        <v>15</v>
      </c>
      <c r="D1236" s="4" t="str">
        <f>"唐娟"</f>
        <v>唐娟</v>
      </c>
      <c r="E1236" s="4" t="str">
        <f t="shared" si="107"/>
        <v>女</v>
      </c>
    </row>
    <row r="1237" customHeight="1" spans="1:5">
      <c r="A1237" s="4">
        <v>1235</v>
      </c>
      <c r="B1237" s="4" t="str">
        <f>"431720220809111135237605"</f>
        <v>431720220809111135237605</v>
      </c>
      <c r="C1237" s="5" t="s">
        <v>15</v>
      </c>
      <c r="D1237" s="4" t="str">
        <f>"李燕芳"</f>
        <v>李燕芳</v>
      </c>
      <c r="E1237" s="4" t="str">
        <f t="shared" si="107"/>
        <v>女</v>
      </c>
    </row>
    <row r="1238" customHeight="1" spans="1:5">
      <c r="A1238" s="4">
        <v>1236</v>
      </c>
      <c r="B1238" s="4" t="str">
        <f>"431720220809113453237659"</f>
        <v>431720220809113453237659</v>
      </c>
      <c r="C1238" s="5" t="s">
        <v>15</v>
      </c>
      <c r="D1238" s="4" t="str">
        <f>"符玲玲"</f>
        <v>符玲玲</v>
      </c>
      <c r="E1238" s="4" t="str">
        <f t="shared" si="107"/>
        <v>女</v>
      </c>
    </row>
    <row r="1239" customHeight="1" spans="1:5">
      <c r="A1239" s="4">
        <v>1237</v>
      </c>
      <c r="B1239" s="4" t="str">
        <f>"431720220809115224237703"</f>
        <v>431720220809115224237703</v>
      </c>
      <c r="C1239" s="5" t="s">
        <v>15</v>
      </c>
      <c r="D1239" s="4" t="str">
        <f>"谢宛燃"</f>
        <v>谢宛燃</v>
      </c>
      <c r="E1239" s="4" t="str">
        <f t="shared" si="107"/>
        <v>女</v>
      </c>
    </row>
    <row r="1240" customHeight="1" spans="1:5">
      <c r="A1240" s="4">
        <v>1238</v>
      </c>
      <c r="B1240" s="4" t="str">
        <f>"431720220809122438237769"</f>
        <v>431720220809122438237769</v>
      </c>
      <c r="C1240" s="5" t="s">
        <v>15</v>
      </c>
      <c r="D1240" s="4" t="str">
        <f>"王秀敏"</f>
        <v>王秀敏</v>
      </c>
      <c r="E1240" s="4" t="str">
        <f t="shared" si="107"/>
        <v>女</v>
      </c>
    </row>
    <row r="1241" customHeight="1" spans="1:5">
      <c r="A1241" s="4">
        <v>1239</v>
      </c>
      <c r="B1241" s="4" t="str">
        <f>"431720220809150004238112"</f>
        <v>431720220809150004238112</v>
      </c>
      <c r="C1241" s="5" t="s">
        <v>15</v>
      </c>
      <c r="D1241" s="4" t="str">
        <f>"符居荣"</f>
        <v>符居荣</v>
      </c>
      <c r="E1241" s="4" t="str">
        <f>"男"</f>
        <v>男</v>
      </c>
    </row>
    <row r="1242" customHeight="1" spans="1:5">
      <c r="A1242" s="4">
        <v>1240</v>
      </c>
      <c r="B1242" s="4" t="str">
        <f>"431720220809171645238452"</f>
        <v>431720220809171645238452</v>
      </c>
      <c r="C1242" s="5" t="s">
        <v>15</v>
      </c>
      <c r="D1242" s="4" t="str">
        <f>"吴德爱"</f>
        <v>吴德爱</v>
      </c>
      <c r="E1242" s="4" t="str">
        <f t="shared" ref="E1242:E1244" si="108">"女"</f>
        <v>女</v>
      </c>
    </row>
    <row r="1243" customHeight="1" spans="1:5">
      <c r="A1243" s="4">
        <v>1241</v>
      </c>
      <c r="B1243" s="4" t="str">
        <f>"431720220809174557238494"</f>
        <v>431720220809174557238494</v>
      </c>
      <c r="C1243" s="5" t="s">
        <v>15</v>
      </c>
      <c r="D1243" s="4" t="str">
        <f>"蔡惠冰"</f>
        <v>蔡惠冰</v>
      </c>
      <c r="E1243" s="4" t="str">
        <f t="shared" si="108"/>
        <v>女</v>
      </c>
    </row>
    <row r="1244" customHeight="1" spans="1:5">
      <c r="A1244" s="4">
        <v>1242</v>
      </c>
      <c r="B1244" s="4" t="str">
        <f>"431720220809175848238517"</f>
        <v>431720220809175848238517</v>
      </c>
      <c r="C1244" s="5" t="s">
        <v>15</v>
      </c>
      <c r="D1244" s="4" t="str">
        <f>"李巧玲"</f>
        <v>李巧玲</v>
      </c>
      <c r="E1244" s="4" t="str">
        <f t="shared" si="108"/>
        <v>女</v>
      </c>
    </row>
    <row r="1245" customHeight="1" spans="1:5">
      <c r="A1245" s="4">
        <v>1243</v>
      </c>
      <c r="B1245" s="4" t="str">
        <f>"431720220809181355238547"</f>
        <v>431720220809181355238547</v>
      </c>
      <c r="C1245" s="5" t="s">
        <v>15</v>
      </c>
      <c r="D1245" s="4" t="str">
        <f>"金扬清"</f>
        <v>金扬清</v>
      </c>
      <c r="E1245" s="4" t="str">
        <f>"男"</f>
        <v>男</v>
      </c>
    </row>
    <row r="1246" customHeight="1" spans="1:5">
      <c r="A1246" s="4">
        <v>1244</v>
      </c>
      <c r="B1246" s="4" t="str">
        <f>"431720220809192141238659"</f>
        <v>431720220809192141238659</v>
      </c>
      <c r="C1246" s="5" t="s">
        <v>15</v>
      </c>
      <c r="D1246" s="4" t="str">
        <f>"周薇"</f>
        <v>周薇</v>
      </c>
      <c r="E1246" s="4" t="str">
        <f t="shared" ref="E1246:E1248" si="109">"女"</f>
        <v>女</v>
      </c>
    </row>
    <row r="1247" customHeight="1" spans="1:5">
      <c r="A1247" s="4">
        <v>1245</v>
      </c>
      <c r="B1247" s="4" t="str">
        <f>"431720220809202613238788"</f>
        <v>431720220809202613238788</v>
      </c>
      <c r="C1247" s="5" t="s">
        <v>15</v>
      </c>
      <c r="D1247" s="4" t="str">
        <f>"吴玲美"</f>
        <v>吴玲美</v>
      </c>
      <c r="E1247" s="4" t="str">
        <f t="shared" si="109"/>
        <v>女</v>
      </c>
    </row>
    <row r="1248" customHeight="1" spans="1:5">
      <c r="A1248" s="4">
        <v>1246</v>
      </c>
      <c r="B1248" s="4" t="str">
        <f>"431720220809210423238861"</f>
        <v>431720220809210423238861</v>
      </c>
      <c r="C1248" s="5" t="s">
        <v>15</v>
      </c>
      <c r="D1248" s="4" t="str">
        <f>"黄雨霞"</f>
        <v>黄雨霞</v>
      </c>
      <c r="E1248" s="4" t="str">
        <f t="shared" si="109"/>
        <v>女</v>
      </c>
    </row>
    <row r="1249" customHeight="1" spans="1:5">
      <c r="A1249" s="4">
        <v>1247</v>
      </c>
      <c r="B1249" s="4" t="str">
        <f>"431720220809230320239106"</f>
        <v>431720220809230320239106</v>
      </c>
      <c r="C1249" s="5" t="s">
        <v>15</v>
      </c>
      <c r="D1249" s="4" t="str">
        <f>"王祚师"</f>
        <v>王祚师</v>
      </c>
      <c r="E1249" s="4" t="str">
        <f t="shared" ref="E1249:E1254" si="110">"男"</f>
        <v>男</v>
      </c>
    </row>
    <row r="1250" customHeight="1" spans="1:5">
      <c r="A1250" s="4">
        <v>1248</v>
      </c>
      <c r="B1250" s="4" t="str">
        <f>"431720220809233230239142"</f>
        <v>431720220809233230239142</v>
      </c>
      <c r="C1250" s="5" t="s">
        <v>15</v>
      </c>
      <c r="D1250" s="4" t="str">
        <f>"陈慧敏"</f>
        <v>陈慧敏</v>
      </c>
      <c r="E1250" s="4" t="str">
        <f t="shared" ref="E1250:E1252" si="111">"女"</f>
        <v>女</v>
      </c>
    </row>
    <row r="1251" customHeight="1" spans="1:5">
      <c r="A1251" s="4">
        <v>1249</v>
      </c>
      <c r="B1251" s="4" t="str">
        <f>"431720220810085247239366"</f>
        <v>431720220810085247239366</v>
      </c>
      <c r="C1251" s="5" t="s">
        <v>15</v>
      </c>
      <c r="D1251" s="4" t="str">
        <f>"王小柱"</f>
        <v>王小柱</v>
      </c>
      <c r="E1251" s="4" t="str">
        <f t="shared" si="111"/>
        <v>女</v>
      </c>
    </row>
    <row r="1252" customHeight="1" spans="1:5">
      <c r="A1252" s="4">
        <v>1250</v>
      </c>
      <c r="B1252" s="4" t="str">
        <f>"431720220810101118239669"</f>
        <v>431720220810101118239669</v>
      </c>
      <c r="C1252" s="5" t="s">
        <v>15</v>
      </c>
      <c r="D1252" s="4" t="str">
        <f>"钟斯爱"</f>
        <v>钟斯爱</v>
      </c>
      <c r="E1252" s="4" t="str">
        <f t="shared" si="111"/>
        <v>女</v>
      </c>
    </row>
    <row r="1253" customHeight="1" spans="1:5">
      <c r="A1253" s="4">
        <v>1251</v>
      </c>
      <c r="B1253" s="4" t="str">
        <f>"431720220810131645240237"</f>
        <v>431720220810131645240237</v>
      </c>
      <c r="C1253" s="5" t="s">
        <v>15</v>
      </c>
      <c r="D1253" s="4" t="str">
        <f>"符利森"</f>
        <v>符利森</v>
      </c>
      <c r="E1253" s="4" t="str">
        <f t="shared" si="110"/>
        <v>男</v>
      </c>
    </row>
    <row r="1254" customHeight="1" spans="1:5">
      <c r="A1254" s="4">
        <v>1252</v>
      </c>
      <c r="B1254" s="4" t="str">
        <f>"431720220810131731240241"</f>
        <v>431720220810131731240241</v>
      </c>
      <c r="C1254" s="5" t="s">
        <v>15</v>
      </c>
      <c r="D1254" s="4" t="str">
        <f>"王学成"</f>
        <v>王学成</v>
      </c>
      <c r="E1254" s="4" t="str">
        <f t="shared" si="110"/>
        <v>男</v>
      </c>
    </row>
    <row r="1255" customHeight="1" spans="1:5">
      <c r="A1255" s="4">
        <v>1253</v>
      </c>
      <c r="B1255" s="4" t="str">
        <f>"431720220810133725240278"</f>
        <v>431720220810133725240278</v>
      </c>
      <c r="C1255" s="5" t="s">
        <v>15</v>
      </c>
      <c r="D1255" s="4" t="str">
        <f>"邢维佳"</f>
        <v>邢维佳</v>
      </c>
      <c r="E1255" s="4" t="str">
        <f t="shared" ref="E1255:E1263" si="112">"女"</f>
        <v>女</v>
      </c>
    </row>
    <row r="1256" customHeight="1" spans="1:5">
      <c r="A1256" s="4">
        <v>1254</v>
      </c>
      <c r="B1256" s="4" t="str">
        <f>"431720220810142926240352"</f>
        <v>431720220810142926240352</v>
      </c>
      <c r="C1256" s="5" t="s">
        <v>15</v>
      </c>
      <c r="D1256" s="4" t="str">
        <f>"郑德荣"</f>
        <v>郑德荣</v>
      </c>
      <c r="E1256" s="4" t="str">
        <f t="shared" ref="E1256:E1259" si="113">"男"</f>
        <v>男</v>
      </c>
    </row>
    <row r="1257" customHeight="1" spans="1:5">
      <c r="A1257" s="4">
        <v>1255</v>
      </c>
      <c r="B1257" s="4" t="str">
        <f>"431720220810155311240647"</f>
        <v>431720220810155311240647</v>
      </c>
      <c r="C1257" s="5" t="s">
        <v>15</v>
      </c>
      <c r="D1257" s="4" t="str">
        <f>"徐堂杰"</f>
        <v>徐堂杰</v>
      </c>
      <c r="E1257" s="4" t="str">
        <f t="shared" si="113"/>
        <v>男</v>
      </c>
    </row>
    <row r="1258" customHeight="1" spans="1:5">
      <c r="A1258" s="4">
        <v>1256</v>
      </c>
      <c r="B1258" s="4" t="str">
        <f>"431720220810163910240805"</f>
        <v>431720220810163910240805</v>
      </c>
      <c r="C1258" s="5" t="s">
        <v>15</v>
      </c>
      <c r="D1258" s="4" t="str">
        <f>"冼燕真"</f>
        <v>冼燕真</v>
      </c>
      <c r="E1258" s="4" t="str">
        <f t="shared" si="112"/>
        <v>女</v>
      </c>
    </row>
    <row r="1259" customHeight="1" spans="1:5">
      <c r="A1259" s="4">
        <v>1257</v>
      </c>
      <c r="B1259" s="4" t="str">
        <f>"431720220810165124240840"</f>
        <v>431720220810165124240840</v>
      </c>
      <c r="C1259" s="5" t="s">
        <v>15</v>
      </c>
      <c r="D1259" s="4" t="str">
        <f>"罗瑞桐"</f>
        <v>罗瑞桐</v>
      </c>
      <c r="E1259" s="4" t="str">
        <f t="shared" si="113"/>
        <v>男</v>
      </c>
    </row>
    <row r="1260" customHeight="1" spans="1:5">
      <c r="A1260" s="4">
        <v>1258</v>
      </c>
      <c r="B1260" s="4" t="str">
        <f>"431720220810192731241186"</f>
        <v>431720220810192731241186</v>
      </c>
      <c r="C1260" s="5" t="s">
        <v>15</v>
      </c>
      <c r="D1260" s="4" t="str">
        <f>"吴海啸"</f>
        <v>吴海啸</v>
      </c>
      <c r="E1260" s="4" t="str">
        <f t="shared" si="112"/>
        <v>女</v>
      </c>
    </row>
    <row r="1261" customHeight="1" spans="1:5">
      <c r="A1261" s="4">
        <v>1259</v>
      </c>
      <c r="B1261" s="4" t="str">
        <f>"431720220810212912241475"</f>
        <v>431720220810212912241475</v>
      </c>
      <c r="C1261" s="5" t="s">
        <v>15</v>
      </c>
      <c r="D1261" s="4" t="str">
        <f>"甘郁灵"</f>
        <v>甘郁灵</v>
      </c>
      <c r="E1261" s="4" t="str">
        <f t="shared" si="112"/>
        <v>女</v>
      </c>
    </row>
    <row r="1262" customHeight="1" spans="1:5">
      <c r="A1262" s="4">
        <v>1260</v>
      </c>
      <c r="B1262" s="4" t="str">
        <f>"431720220810215652241555"</f>
        <v>431720220810215652241555</v>
      </c>
      <c r="C1262" s="5" t="s">
        <v>15</v>
      </c>
      <c r="D1262" s="4" t="str">
        <f>"云燕娇"</f>
        <v>云燕娇</v>
      </c>
      <c r="E1262" s="4" t="str">
        <f t="shared" si="112"/>
        <v>女</v>
      </c>
    </row>
    <row r="1263" customHeight="1" spans="1:5">
      <c r="A1263" s="4">
        <v>1261</v>
      </c>
      <c r="B1263" s="4" t="str">
        <f>"431720220810220752241582"</f>
        <v>431720220810220752241582</v>
      </c>
      <c r="C1263" s="5" t="s">
        <v>15</v>
      </c>
      <c r="D1263" s="4" t="str">
        <f>"李玉芬"</f>
        <v>李玉芬</v>
      </c>
      <c r="E1263" s="4" t="str">
        <f t="shared" si="112"/>
        <v>女</v>
      </c>
    </row>
    <row r="1264" customHeight="1" spans="1:5">
      <c r="A1264" s="4">
        <v>1262</v>
      </c>
      <c r="B1264" s="4" t="str">
        <f>"431720220810223533241644"</f>
        <v>431720220810223533241644</v>
      </c>
      <c r="C1264" s="5" t="s">
        <v>15</v>
      </c>
      <c r="D1264" s="4" t="str">
        <f>"胡绍海"</f>
        <v>胡绍海</v>
      </c>
      <c r="E1264" s="4" t="str">
        <f>"男"</f>
        <v>男</v>
      </c>
    </row>
    <row r="1265" customHeight="1" spans="1:5">
      <c r="A1265" s="4">
        <v>1263</v>
      </c>
      <c r="B1265" s="4" t="str">
        <f>"431720220811002239241771"</f>
        <v>431720220811002239241771</v>
      </c>
      <c r="C1265" s="5" t="s">
        <v>15</v>
      </c>
      <c r="D1265" s="4" t="str">
        <f>"陈竹香"</f>
        <v>陈竹香</v>
      </c>
      <c r="E1265" s="4" t="str">
        <f t="shared" ref="E1265:E1269" si="114">"女"</f>
        <v>女</v>
      </c>
    </row>
    <row r="1266" customHeight="1" spans="1:5">
      <c r="A1266" s="4">
        <v>1264</v>
      </c>
      <c r="B1266" s="4" t="str">
        <f>"431720220811015154241802"</f>
        <v>431720220811015154241802</v>
      </c>
      <c r="C1266" s="5" t="s">
        <v>15</v>
      </c>
      <c r="D1266" s="4" t="str">
        <f>"梁春燕"</f>
        <v>梁春燕</v>
      </c>
      <c r="E1266" s="4" t="str">
        <f t="shared" si="114"/>
        <v>女</v>
      </c>
    </row>
    <row r="1267" customHeight="1" spans="1:5">
      <c r="A1267" s="4">
        <v>1265</v>
      </c>
      <c r="B1267" s="4" t="str">
        <f>"431720220811095701242202"</f>
        <v>431720220811095701242202</v>
      </c>
      <c r="C1267" s="5" t="s">
        <v>15</v>
      </c>
      <c r="D1267" s="4" t="str">
        <f>"叶佩玲"</f>
        <v>叶佩玲</v>
      </c>
      <c r="E1267" s="4" t="str">
        <f t="shared" si="114"/>
        <v>女</v>
      </c>
    </row>
    <row r="1268" customHeight="1" spans="1:5">
      <c r="A1268" s="4">
        <v>1266</v>
      </c>
      <c r="B1268" s="4" t="str">
        <f>"431720220811105300242394"</f>
        <v>431720220811105300242394</v>
      </c>
      <c r="C1268" s="5" t="s">
        <v>15</v>
      </c>
      <c r="D1268" s="4" t="str">
        <f>"吴雪珍"</f>
        <v>吴雪珍</v>
      </c>
      <c r="E1268" s="4" t="str">
        <f t="shared" si="114"/>
        <v>女</v>
      </c>
    </row>
    <row r="1269" customHeight="1" spans="1:5">
      <c r="A1269" s="4">
        <v>1267</v>
      </c>
      <c r="B1269" s="4" t="str">
        <f>"431720220811113137242505"</f>
        <v>431720220811113137242505</v>
      </c>
      <c r="C1269" s="5" t="s">
        <v>15</v>
      </c>
      <c r="D1269" s="4" t="str">
        <f>"冯晓静"</f>
        <v>冯晓静</v>
      </c>
      <c r="E1269" s="4" t="str">
        <f t="shared" si="114"/>
        <v>女</v>
      </c>
    </row>
    <row r="1270" customHeight="1" spans="1:5">
      <c r="A1270" s="4">
        <v>1268</v>
      </c>
      <c r="B1270" s="4" t="str">
        <f>"431720220811113357242508"</f>
        <v>431720220811113357242508</v>
      </c>
      <c r="C1270" s="5" t="s">
        <v>15</v>
      </c>
      <c r="D1270" s="4" t="str">
        <f>"王震"</f>
        <v>王震</v>
      </c>
      <c r="E1270" s="4" t="str">
        <f t="shared" ref="E1270:E1273" si="115">"男"</f>
        <v>男</v>
      </c>
    </row>
    <row r="1271" customHeight="1" spans="1:5">
      <c r="A1271" s="4">
        <v>1269</v>
      </c>
      <c r="B1271" s="4" t="str">
        <f>"431720220811145645243070"</f>
        <v>431720220811145645243070</v>
      </c>
      <c r="C1271" s="5" t="s">
        <v>15</v>
      </c>
      <c r="D1271" s="4" t="str">
        <f>"林少琴"</f>
        <v>林少琴</v>
      </c>
      <c r="E1271" s="4" t="str">
        <f t="shared" ref="E1271:E1277" si="116">"女"</f>
        <v>女</v>
      </c>
    </row>
    <row r="1272" customHeight="1" spans="1:5">
      <c r="A1272" s="4">
        <v>1270</v>
      </c>
      <c r="B1272" s="4" t="str">
        <f>"431720220811153056243185"</f>
        <v>431720220811153056243185</v>
      </c>
      <c r="C1272" s="5" t="s">
        <v>15</v>
      </c>
      <c r="D1272" s="4" t="str">
        <f>"曾德勇"</f>
        <v>曾德勇</v>
      </c>
      <c r="E1272" s="4" t="str">
        <f t="shared" si="115"/>
        <v>男</v>
      </c>
    </row>
    <row r="1273" customHeight="1" spans="1:5">
      <c r="A1273" s="4">
        <v>1271</v>
      </c>
      <c r="B1273" s="4" t="str">
        <f>"431720220811162133243330"</f>
        <v>431720220811162133243330</v>
      </c>
      <c r="C1273" s="5" t="s">
        <v>15</v>
      </c>
      <c r="D1273" s="4" t="str">
        <f>"蔡於进"</f>
        <v>蔡於进</v>
      </c>
      <c r="E1273" s="4" t="str">
        <f t="shared" si="115"/>
        <v>男</v>
      </c>
    </row>
    <row r="1274" customHeight="1" spans="1:5">
      <c r="A1274" s="4">
        <v>1272</v>
      </c>
      <c r="B1274" s="4" t="str">
        <f>"431720220811174047243514"</f>
        <v>431720220811174047243514</v>
      </c>
      <c r="C1274" s="5" t="s">
        <v>15</v>
      </c>
      <c r="D1274" s="4" t="str">
        <f>"韦诗韵"</f>
        <v>韦诗韵</v>
      </c>
      <c r="E1274" s="4" t="str">
        <f t="shared" si="116"/>
        <v>女</v>
      </c>
    </row>
    <row r="1275" customHeight="1" spans="1:5">
      <c r="A1275" s="4">
        <v>1273</v>
      </c>
      <c r="B1275" s="4" t="str">
        <f>"431720220811211808243634"</f>
        <v>431720220811211808243634</v>
      </c>
      <c r="C1275" s="5" t="s">
        <v>15</v>
      </c>
      <c r="D1275" s="4" t="str">
        <f>"吴琪"</f>
        <v>吴琪</v>
      </c>
      <c r="E1275" s="4" t="str">
        <f t="shared" si="116"/>
        <v>女</v>
      </c>
    </row>
    <row r="1276" customHeight="1" spans="1:5">
      <c r="A1276" s="4">
        <v>1274</v>
      </c>
      <c r="B1276" s="4" t="str">
        <f>"431720220811212243243635"</f>
        <v>431720220811212243243635</v>
      </c>
      <c r="C1276" s="5" t="s">
        <v>15</v>
      </c>
      <c r="D1276" s="4" t="str">
        <f>"陈雪绒"</f>
        <v>陈雪绒</v>
      </c>
      <c r="E1276" s="4" t="str">
        <f t="shared" si="116"/>
        <v>女</v>
      </c>
    </row>
    <row r="1277" customHeight="1" spans="1:5">
      <c r="A1277" s="4">
        <v>1275</v>
      </c>
      <c r="B1277" s="4" t="str">
        <f>"431720220811214713243654"</f>
        <v>431720220811214713243654</v>
      </c>
      <c r="C1277" s="5" t="s">
        <v>15</v>
      </c>
      <c r="D1277" s="4" t="str">
        <f>"唐玉丹"</f>
        <v>唐玉丹</v>
      </c>
      <c r="E1277" s="4" t="str">
        <f t="shared" si="116"/>
        <v>女</v>
      </c>
    </row>
    <row r="1278" customHeight="1" spans="1:5">
      <c r="A1278" s="4">
        <v>1276</v>
      </c>
      <c r="B1278" s="4" t="str">
        <f>"431720220811234433243724"</f>
        <v>431720220811234433243724</v>
      </c>
      <c r="C1278" s="5" t="s">
        <v>15</v>
      </c>
      <c r="D1278" s="4" t="str">
        <f>"冼世鲁"</f>
        <v>冼世鲁</v>
      </c>
      <c r="E1278" s="4" t="str">
        <f t="shared" ref="E1278:E1282" si="117">"男"</f>
        <v>男</v>
      </c>
    </row>
    <row r="1279" customHeight="1" spans="1:5">
      <c r="A1279" s="4">
        <v>1277</v>
      </c>
      <c r="B1279" s="4" t="str">
        <f>"431720220812000109243736"</f>
        <v>431720220812000109243736</v>
      </c>
      <c r="C1279" s="5" t="s">
        <v>15</v>
      </c>
      <c r="D1279" s="4" t="str">
        <f>"郭海婷"</f>
        <v>郭海婷</v>
      </c>
      <c r="E1279" s="4" t="str">
        <f t="shared" ref="E1279:E1284" si="118">"女"</f>
        <v>女</v>
      </c>
    </row>
    <row r="1280" customHeight="1" spans="1:5">
      <c r="A1280" s="4">
        <v>1278</v>
      </c>
      <c r="B1280" s="4" t="str">
        <f>"431720220812090643243831"</f>
        <v>431720220812090643243831</v>
      </c>
      <c r="C1280" s="5" t="s">
        <v>15</v>
      </c>
      <c r="D1280" s="4" t="str">
        <f>"汤超"</f>
        <v>汤超</v>
      </c>
      <c r="E1280" s="4" t="str">
        <f t="shared" si="117"/>
        <v>男</v>
      </c>
    </row>
    <row r="1281" customHeight="1" spans="1:5">
      <c r="A1281" s="4">
        <v>1279</v>
      </c>
      <c r="B1281" s="4" t="str">
        <f>"431720220812095456243921"</f>
        <v>431720220812095456243921</v>
      </c>
      <c r="C1281" s="5" t="s">
        <v>15</v>
      </c>
      <c r="D1281" s="4" t="str">
        <f>"钟以娜"</f>
        <v>钟以娜</v>
      </c>
      <c r="E1281" s="4" t="str">
        <f t="shared" si="118"/>
        <v>女</v>
      </c>
    </row>
    <row r="1282" customHeight="1" spans="1:5">
      <c r="A1282" s="4">
        <v>1280</v>
      </c>
      <c r="B1282" s="4" t="str">
        <f>"431720220812101951243965"</f>
        <v>431720220812101951243965</v>
      </c>
      <c r="C1282" s="5" t="s">
        <v>15</v>
      </c>
      <c r="D1282" s="4" t="str">
        <f>"杨全璋"</f>
        <v>杨全璋</v>
      </c>
      <c r="E1282" s="4" t="str">
        <f t="shared" si="117"/>
        <v>男</v>
      </c>
    </row>
    <row r="1283" customHeight="1" spans="1:5">
      <c r="A1283" s="4">
        <v>1281</v>
      </c>
      <c r="B1283" s="4" t="str">
        <f>"431720220812104828244024"</f>
        <v>431720220812104828244024</v>
      </c>
      <c r="C1283" s="5" t="s">
        <v>15</v>
      </c>
      <c r="D1283" s="4" t="str">
        <f>"欧春南"</f>
        <v>欧春南</v>
      </c>
      <c r="E1283" s="4" t="str">
        <f t="shared" si="118"/>
        <v>女</v>
      </c>
    </row>
    <row r="1284" customHeight="1" spans="1:5">
      <c r="A1284" s="4">
        <v>1282</v>
      </c>
      <c r="B1284" s="4" t="str">
        <f>"431720220812104838244026"</f>
        <v>431720220812104838244026</v>
      </c>
      <c r="C1284" s="5" t="s">
        <v>15</v>
      </c>
      <c r="D1284" s="4" t="str">
        <f>"李小霜"</f>
        <v>李小霜</v>
      </c>
      <c r="E1284" s="4" t="str">
        <f t="shared" si="118"/>
        <v>女</v>
      </c>
    </row>
    <row r="1285" customHeight="1" spans="1:5">
      <c r="A1285" s="4">
        <v>1283</v>
      </c>
      <c r="B1285" s="4" t="str">
        <f>"431720220812154530244409"</f>
        <v>431720220812154530244409</v>
      </c>
      <c r="C1285" s="5" t="s">
        <v>15</v>
      </c>
      <c r="D1285" s="4" t="str">
        <f>"吴锦亮"</f>
        <v>吴锦亮</v>
      </c>
      <c r="E1285" s="4" t="str">
        <f>"男"</f>
        <v>男</v>
      </c>
    </row>
    <row r="1286" customHeight="1" spans="1:5">
      <c r="A1286" s="4">
        <v>1284</v>
      </c>
      <c r="B1286" s="4" t="str">
        <f>"431720220806091513231225"</f>
        <v>431720220806091513231225</v>
      </c>
      <c r="C1286" s="5" t="s">
        <v>16</v>
      </c>
      <c r="D1286" s="4" t="str">
        <f>"符吉子"</f>
        <v>符吉子</v>
      </c>
      <c r="E1286" s="4" t="str">
        <f t="shared" ref="E1286:E1293" si="119">"女"</f>
        <v>女</v>
      </c>
    </row>
    <row r="1287" customHeight="1" spans="1:5">
      <c r="A1287" s="4">
        <v>1285</v>
      </c>
      <c r="B1287" s="4" t="str">
        <f>"431720220806091622231230"</f>
        <v>431720220806091622231230</v>
      </c>
      <c r="C1287" s="5" t="s">
        <v>16</v>
      </c>
      <c r="D1287" s="4" t="str">
        <f>"陈宝妹"</f>
        <v>陈宝妹</v>
      </c>
      <c r="E1287" s="4" t="str">
        <f t="shared" si="119"/>
        <v>女</v>
      </c>
    </row>
    <row r="1288" customHeight="1" spans="1:5">
      <c r="A1288" s="4">
        <v>1286</v>
      </c>
      <c r="B1288" s="4" t="str">
        <f>"431720220806091914231238"</f>
        <v>431720220806091914231238</v>
      </c>
      <c r="C1288" s="5" t="s">
        <v>16</v>
      </c>
      <c r="D1288" s="4" t="str">
        <f>"庄雪芬"</f>
        <v>庄雪芬</v>
      </c>
      <c r="E1288" s="4" t="str">
        <f t="shared" si="119"/>
        <v>女</v>
      </c>
    </row>
    <row r="1289" customHeight="1" spans="1:5">
      <c r="A1289" s="4">
        <v>1287</v>
      </c>
      <c r="B1289" s="4" t="str">
        <f>"431720220806092232231255"</f>
        <v>431720220806092232231255</v>
      </c>
      <c r="C1289" s="5" t="s">
        <v>16</v>
      </c>
      <c r="D1289" s="4" t="str">
        <f>"邢莉莉"</f>
        <v>邢莉莉</v>
      </c>
      <c r="E1289" s="4" t="str">
        <f t="shared" si="119"/>
        <v>女</v>
      </c>
    </row>
    <row r="1290" customHeight="1" spans="1:5">
      <c r="A1290" s="4">
        <v>1288</v>
      </c>
      <c r="B1290" s="4" t="str">
        <f>"431720220806092538231266"</f>
        <v>431720220806092538231266</v>
      </c>
      <c r="C1290" s="5" t="s">
        <v>16</v>
      </c>
      <c r="D1290" s="4" t="str">
        <f>"周潮敏"</f>
        <v>周潮敏</v>
      </c>
      <c r="E1290" s="4" t="str">
        <f t="shared" si="119"/>
        <v>女</v>
      </c>
    </row>
    <row r="1291" customHeight="1" spans="1:5">
      <c r="A1291" s="4">
        <v>1289</v>
      </c>
      <c r="B1291" s="4" t="str">
        <f>"431720220806094938231342"</f>
        <v>431720220806094938231342</v>
      </c>
      <c r="C1291" s="5" t="s">
        <v>16</v>
      </c>
      <c r="D1291" s="4" t="str">
        <f>"李逸"</f>
        <v>李逸</v>
      </c>
      <c r="E1291" s="4" t="str">
        <f t="shared" si="119"/>
        <v>女</v>
      </c>
    </row>
    <row r="1292" customHeight="1" spans="1:5">
      <c r="A1292" s="4">
        <v>1290</v>
      </c>
      <c r="B1292" s="4" t="str">
        <f>"431720220806094943231343"</f>
        <v>431720220806094943231343</v>
      </c>
      <c r="C1292" s="5" t="s">
        <v>16</v>
      </c>
      <c r="D1292" s="4" t="str">
        <f>"吴霞梅"</f>
        <v>吴霞梅</v>
      </c>
      <c r="E1292" s="4" t="str">
        <f t="shared" si="119"/>
        <v>女</v>
      </c>
    </row>
    <row r="1293" customHeight="1" spans="1:5">
      <c r="A1293" s="4">
        <v>1291</v>
      </c>
      <c r="B1293" s="4" t="str">
        <f>"431720220806095653231361"</f>
        <v>431720220806095653231361</v>
      </c>
      <c r="C1293" s="5" t="s">
        <v>16</v>
      </c>
      <c r="D1293" s="4" t="str">
        <f>"刘英"</f>
        <v>刘英</v>
      </c>
      <c r="E1293" s="4" t="str">
        <f t="shared" si="119"/>
        <v>女</v>
      </c>
    </row>
    <row r="1294" customHeight="1" spans="1:5">
      <c r="A1294" s="4">
        <v>1292</v>
      </c>
      <c r="B1294" s="4" t="str">
        <f>"431720220806100426231394"</f>
        <v>431720220806100426231394</v>
      </c>
      <c r="C1294" s="5" t="s">
        <v>16</v>
      </c>
      <c r="D1294" s="4" t="str">
        <f>"钟海彬"</f>
        <v>钟海彬</v>
      </c>
      <c r="E1294" s="4" t="str">
        <f>"男"</f>
        <v>男</v>
      </c>
    </row>
    <row r="1295" customHeight="1" spans="1:5">
      <c r="A1295" s="4">
        <v>1293</v>
      </c>
      <c r="B1295" s="4" t="str">
        <f>"431720220806101201231416"</f>
        <v>431720220806101201231416</v>
      </c>
      <c r="C1295" s="5" t="s">
        <v>16</v>
      </c>
      <c r="D1295" s="4" t="str">
        <f>"王春萍"</f>
        <v>王春萍</v>
      </c>
      <c r="E1295" s="4" t="str">
        <f t="shared" ref="E1295:E1301" si="120">"女"</f>
        <v>女</v>
      </c>
    </row>
    <row r="1296" customHeight="1" spans="1:5">
      <c r="A1296" s="4">
        <v>1294</v>
      </c>
      <c r="B1296" s="4" t="str">
        <f>"431720220806101735231432"</f>
        <v>431720220806101735231432</v>
      </c>
      <c r="C1296" s="5" t="s">
        <v>16</v>
      </c>
      <c r="D1296" s="4" t="str">
        <f>"温金婷"</f>
        <v>温金婷</v>
      </c>
      <c r="E1296" s="4" t="str">
        <f t="shared" si="120"/>
        <v>女</v>
      </c>
    </row>
    <row r="1297" customHeight="1" spans="1:5">
      <c r="A1297" s="4">
        <v>1295</v>
      </c>
      <c r="B1297" s="4" t="str">
        <f>"431720220806103829231496"</f>
        <v>431720220806103829231496</v>
      </c>
      <c r="C1297" s="5" t="s">
        <v>16</v>
      </c>
      <c r="D1297" s="4" t="str">
        <f>"邢丹云"</f>
        <v>邢丹云</v>
      </c>
      <c r="E1297" s="4" t="str">
        <f t="shared" si="120"/>
        <v>女</v>
      </c>
    </row>
    <row r="1298" customHeight="1" spans="1:5">
      <c r="A1298" s="4">
        <v>1296</v>
      </c>
      <c r="B1298" s="4" t="str">
        <f>"431720220806104401231516"</f>
        <v>431720220806104401231516</v>
      </c>
      <c r="C1298" s="5" t="s">
        <v>16</v>
      </c>
      <c r="D1298" s="4" t="str">
        <f>"林春金"</f>
        <v>林春金</v>
      </c>
      <c r="E1298" s="4" t="str">
        <f t="shared" si="120"/>
        <v>女</v>
      </c>
    </row>
    <row r="1299" customHeight="1" spans="1:5">
      <c r="A1299" s="4">
        <v>1297</v>
      </c>
      <c r="B1299" s="4" t="str">
        <f>"431720220806112522231651"</f>
        <v>431720220806112522231651</v>
      </c>
      <c r="C1299" s="5" t="s">
        <v>16</v>
      </c>
      <c r="D1299" s="4" t="str">
        <f>"邢清瑶"</f>
        <v>邢清瑶</v>
      </c>
      <c r="E1299" s="4" t="str">
        <f t="shared" si="120"/>
        <v>女</v>
      </c>
    </row>
    <row r="1300" customHeight="1" spans="1:5">
      <c r="A1300" s="4">
        <v>1298</v>
      </c>
      <c r="B1300" s="4" t="str">
        <f>"431720220806114315231700"</f>
        <v>431720220806114315231700</v>
      </c>
      <c r="C1300" s="5" t="s">
        <v>16</v>
      </c>
      <c r="D1300" s="4" t="str">
        <f>"陈春平"</f>
        <v>陈春平</v>
      </c>
      <c r="E1300" s="4" t="str">
        <f t="shared" si="120"/>
        <v>女</v>
      </c>
    </row>
    <row r="1301" customHeight="1" spans="1:5">
      <c r="A1301" s="4">
        <v>1299</v>
      </c>
      <c r="B1301" s="4" t="str">
        <f>"431720220806122741231825"</f>
        <v>431720220806122741231825</v>
      </c>
      <c r="C1301" s="5" t="s">
        <v>16</v>
      </c>
      <c r="D1301" s="4" t="str">
        <f>"李静姣"</f>
        <v>李静姣</v>
      </c>
      <c r="E1301" s="4" t="str">
        <f t="shared" si="120"/>
        <v>女</v>
      </c>
    </row>
    <row r="1302" customHeight="1" spans="1:5">
      <c r="A1302" s="4">
        <v>1300</v>
      </c>
      <c r="B1302" s="4" t="str">
        <f>"431720220806124847231886"</f>
        <v>431720220806124847231886</v>
      </c>
      <c r="C1302" s="5" t="s">
        <v>16</v>
      </c>
      <c r="D1302" s="4" t="str">
        <f>"祁辅智"</f>
        <v>祁辅智</v>
      </c>
      <c r="E1302" s="4" t="str">
        <f t="shared" ref="E1302:E1305" si="121">"男"</f>
        <v>男</v>
      </c>
    </row>
    <row r="1303" customHeight="1" spans="1:5">
      <c r="A1303" s="4">
        <v>1301</v>
      </c>
      <c r="B1303" s="4" t="str">
        <f>"431720220806125320231897"</f>
        <v>431720220806125320231897</v>
      </c>
      <c r="C1303" s="5" t="s">
        <v>16</v>
      </c>
      <c r="D1303" s="4" t="str">
        <f>"黎传茂"</f>
        <v>黎传茂</v>
      </c>
      <c r="E1303" s="4" t="str">
        <f t="shared" si="121"/>
        <v>男</v>
      </c>
    </row>
    <row r="1304" customHeight="1" spans="1:5">
      <c r="A1304" s="4">
        <v>1302</v>
      </c>
      <c r="B1304" s="4" t="str">
        <f>"431720220806134851232037"</f>
        <v>431720220806134851232037</v>
      </c>
      <c r="C1304" s="5" t="s">
        <v>16</v>
      </c>
      <c r="D1304" s="4" t="str">
        <f>"陈春燕"</f>
        <v>陈春燕</v>
      </c>
      <c r="E1304" s="4" t="str">
        <f t="shared" ref="E1304:E1307" si="122">"女"</f>
        <v>女</v>
      </c>
    </row>
    <row r="1305" customHeight="1" spans="1:5">
      <c r="A1305" s="4">
        <v>1303</v>
      </c>
      <c r="B1305" s="4" t="str">
        <f>"431720220806144624232154"</f>
        <v>431720220806144624232154</v>
      </c>
      <c r="C1305" s="5" t="s">
        <v>16</v>
      </c>
      <c r="D1305" s="4" t="str">
        <f>"王家宇"</f>
        <v>王家宇</v>
      </c>
      <c r="E1305" s="4" t="str">
        <f t="shared" si="121"/>
        <v>男</v>
      </c>
    </row>
    <row r="1306" customHeight="1" spans="1:5">
      <c r="A1306" s="4">
        <v>1304</v>
      </c>
      <c r="B1306" s="4" t="str">
        <f>"431720220806162431232350"</f>
        <v>431720220806162431232350</v>
      </c>
      <c r="C1306" s="5" t="s">
        <v>16</v>
      </c>
      <c r="D1306" s="4" t="str">
        <f>"秦风娟"</f>
        <v>秦风娟</v>
      </c>
      <c r="E1306" s="4" t="str">
        <f t="shared" si="122"/>
        <v>女</v>
      </c>
    </row>
    <row r="1307" customHeight="1" spans="1:5">
      <c r="A1307" s="4">
        <v>1305</v>
      </c>
      <c r="B1307" s="4" t="str">
        <f>"431720220806164617232402"</f>
        <v>431720220806164617232402</v>
      </c>
      <c r="C1307" s="5" t="s">
        <v>16</v>
      </c>
      <c r="D1307" s="4" t="str">
        <f>"符家甜"</f>
        <v>符家甜</v>
      </c>
      <c r="E1307" s="4" t="str">
        <f t="shared" si="122"/>
        <v>女</v>
      </c>
    </row>
    <row r="1308" customHeight="1" spans="1:5">
      <c r="A1308" s="4">
        <v>1306</v>
      </c>
      <c r="B1308" s="4" t="str">
        <f>"431720220806173954232499"</f>
        <v>431720220806173954232499</v>
      </c>
      <c r="C1308" s="5" t="s">
        <v>16</v>
      </c>
      <c r="D1308" s="4" t="str">
        <f>"卓书泉"</f>
        <v>卓书泉</v>
      </c>
      <c r="E1308" s="4" t="str">
        <f>"男"</f>
        <v>男</v>
      </c>
    </row>
    <row r="1309" customHeight="1" spans="1:5">
      <c r="A1309" s="4">
        <v>1307</v>
      </c>
      <c r="B1309" s="4" t="str">
        <f>"431720220806181013232539"</f>
        <v>431720220806181013232539</v>
      </c>
      <c r="C1309" s="5" t="s">
        <v>16</v>
      </c>
      <c r="D1309" s="4" t="str">
        <f>"胡欣雨"</f>
        <v>胡欣雨</v>
      </c>
      <c r="E1309" s="4" t="str">
        <f t="shared" ref="E1309:E1313" si="123">"女"</f>
        <v>女</v>
      </c>
    </row>
    <row r="1310" customHeight="1" spans="1:5">
      <c r="A1310" s="4">
        <v>1308</v>
      </c>
      <c r="B1310" s="4" t="str">
        <f>"431720220806181800232547"</f>
        <v>431720220806181800232547</v>
      </c>
      <c r="C1310" s="5" t="s">
        <v>16</v>
      </c>
      <c r="D1310" s="4" t="str">
        <f>"王雪青"</f>
        <v>王雪青</v>
      </c>
      <c r="E1310" s="4" t="str">
        <f t="shared" si="123"/>
        <v>女</v>
      </c>
    </row>
    <row r="1311" customHeight="1" spans="1:5">
      <c r="A1311" s="4">
        <v>1309</v>
      </c>
      <c r="B1311" s="4" t="str">
        <f>"431720220806190035232585"</f>
        <v>431720220806190035232585</v>
      </c>
      <c r="C1311" s="5" t="s">
        <v>16</v>
      </c>
      <c r="D1311" s="4" t="str">
        <f>"陈佳娟"</f>
        <v>陈佳娟</v>
      </c>
      <c r="E1311" s="4" t="str">
        <f t="shared" si="123"/>
        <v>女</v>
      </c>
    </row>
    <row r="1312" customHeight="1" spans="1:5">
      <c r="A1312" s="4">
        <v>1310</v>
      </c>
      <c r="B1312" s="4" t="str">
        <f>"431720220806192327232600"</f>
        <v>431720220806192327232600</v>
      </c>
      <c r="C1312" s="5" t="s">
        <v>16</v>
      </c>
      <c r="D1312" s="4" t="str">
        <f>"谢娇蓉"</f>
        <v>谢娇蓉</v>
      </c>
      <c r="E1312" s="4" t="str">
        <f t="shared" si="123"/>
        <v>女</v>
      </c>
    </row>
    <row r="1313" customHeight="1" spans="1:5">
      <c r="A1313" s="4">
        <v>1311</v>
      </c>
      <c r="B1313" s="4" t="str">
        <f>"431720220806200216232661"</f>
        <v>431720220806200216232661</v>
      </c>
      <c r="C1313" s="5" t="s">
        <v>16</v>
      </c>
      <c r="D1313" s="4" t="str">
        <f>"黎玉花"</f>
        <v>黎玉花</v>
      </c>
      <c r="E1313" s="4" t="str">
        <f t="shared" si="123"/>
        <v>女</v>
      </c>
    </row>
    <row r="1314" customHeight="1" spans="1:5">
      <c r="A1314" s="4">
        <v>1312</v>
      </c>
      <c r="B1314" s="4" t="str">
        <f>"431720220806201726232685"</f>
        <v>431720220806201726232685</v>
      </c>
      <c r="C1314" s="5" t="s">
        <v>16</v>
      </c>
      <c r="D1314" s="4" t="str">
        <f>"何峻"</f>
        <v>何峻</v>
      </c>
      <c r="E1314" s="4" t="str">
        <f t="shared" ref="E1314:E1318" si="124">"男"</f>
        <v>男</v>
      </c>
    </row>
    <row r="1315" customHeight="1" spans="1:5">
      <c r="A1315" s="4">
        <v>1313</v>
      </c>
      <c r="B1315" s="4" t="str">
        <f>"431720220806234458232868"</f>
        <v>431720220806234458232868</v>
      </c>
      <c r="C1315" s="5" t="s">
        <v>16</v>
      </c>
      <c r="D1315" s="4" t="str">
        <f>"裴威侃"</f>
        <v>裴威侃</v>
      </c>
      <c r="E1315" s="4" t="str">
        <f t="shared" si="124"/>
        <v>男</v>
      </c>
    </row>
    <row r="1316" customHeight="1" spans="1:5">
      <c r="A1316" s="4">
        <v>1314</v>
      </c>
      <c r="B1316" s="4" t="str">
        <f>"431720220807075014232913"</f>
        <v>431720220807075014232913</v>
      </c>
      <c r="C1316" s="5" t="s">
        <v>16</v>
      </c>
      <c r="D1316" s="4" t="str">
        <f>"王军欢"</f>
        <v>王军欢</v>
      </c>
      <c r="E1316" s="4" t="str">
        <f t="shared" ref="E1316:E1325" si="125">"女"</f>
        <v>女</v>
      </c>
    </row>
    <row r="1317" customHeight="1" spans="1:5">
      <c r="A1317" s="4">
        <v>1315</v>
      </c>
      <c r="B1317" s="4" t="str">
        <f>"431720220807082814232931"</f>
        <v>431720220807082814232931</v>
      </c>
      <c r="C1317" s="5" t="s">
        <v>16</v>
      </c>
      <c r="D1317" s="4" t="str">
        <f>"林聪"</f>
        <v>林聪</v>
      </c>
      <c r="E1317" s="4" t="str">
        <f t="shared" si="124"/>
        <v>男</v>
      </c>
    </row>
    <row r="1318" customHeight="1" spans="1:5">
      <c r="A1318" s="4">
        <v>1316</v>
      </c>
      <c r="B1318" s="4" t="str">
        <f>"431720220807105121233061"</f>
        <v>431720220807105121233061</v>
      </c>
      <c r="C1318" s="5" t="s">
        <v>16</v>
      </c>
      <c r="D1318" s="4" t="str">
        <f>"王选明"</f>
        <v>王选明</v>
      </c>
      <c r="E1318" s="4" t="str">
        <f t="shared" si="124"/>
        <v>男</v>
      </c>
    </row>
    <row r="1319" customHeight="1" spans="1:5">
      <c r="A1319" s="4">
        <v>1317</v>
      </c>
      <c r="B1319" s="4" t="str">
        <f>"431720220807135831233230"</f>
        <v>431720220807135831233230</v>
      </c>
      <c r="C1319" s="5" t="s">
        <v>16</v>
      </c>
      <c r="D1319" s="4" t="str">
        <f>"符美月"</f>
        <v>符美月</v>
      </c>
      <c r="E1319" s="4" t="str">
        <f t="shared" si="125"/>
        <v>女</v>
      </c>
    </row>
    <row r="1320" customHeight="1" spans="1:5">
      <c r="A1320" s="4">
        <v>1318</v>
      </c>
      <c r="B1320" s="4" t="str">
        <f>"431720220807160902233371"</f>
        <v>431720220807160902233371</v>
      </c>
      <c r="C1320" s="5" t="s">
        <v>16</v>
      </c>
      <c r="D1320" s="4" t="str">
        <f>"纪新杨"</f>
        <v>纪新杨</v>
      </c>
      <c r="E1320" s="4" t="str">
        <f>"男"</f>
        <v>男</v>
      </c>
    </row>
    <row r="1321" customHeight="1" spans="1:5">
      <c r="A1321" s="4">
        <v>1319</v>
      </c>
      <c r="B1321" s="4" t="str">
        <f>"431720220807161909233388"</f>
        <v>431720220807161909233388</v>
      </c>
      <c r="C1321" s="5" t="s">
        <v>16</v>
      </c>
      <c r="D1321" s="4" t="str">
        <f>"吴妹"</f>
        <v>吴妹</v>
      </c>
      <c r="E1321" s="4" t="str">
        <f t="shared" si="125"/>
        <v>女</v>
      </c>
    </row>
    <row r="1322" customHeight="1" spans="1:5">
      <c r="A1322" s="4">
        <v>1320</v>
      </c>
      <c r="B1322" s="4" t="str">
        <f>"431720220807172328233453"</f>
        <v>431720220807172328233453</v>
      </c>
      <c r="C1322" s="5" t="s">
        <v>16</v>
      </c>
      <c r="D1322" s="4" t="str">
        <f>"万梅卿"</f>
        <v>万梅卿</v>
      </c>
      <c r="E1322" s="4" t="str">
        <f t="shared" si="125"/>
        <v>女</v>
      </c>
    </row>
    <row r="1323" customHeight="1" spans="1:5">
      <c r="A1323" s="4">
        <v>1321</v>
      </c>
      <c r="B1323" s="4" t="str">
        <f>"431720220807172810233459"</f>
        <v>431720220807172810233459</v>
      </c>
      <c r="C1323" s="5" t="s">
        <v>16</v>
      </c>
      <c r="D1323" s="4" t="str">
        <f>"麦琪琪"</f>
        <v>麦琪琪</v>
      </c>
      <c r="E1323" s="4" t="str">
        <f t="shared" si="125"/>
        <v>女</v>
      </c>
    </row>
    <row r="1324" customHeight="1" spans="1:5">
      <c r="A1324" s="4">
        <v>1322</v>
      </c>
      <c r="B1324" s="4" t="str">
        <f>"431720220807203738233565"</f>
        <v>431720220807203738233565</v>
      </c>
      <c r="C1324" s="5" t="s">
        <v>16</v>
      </c>
      <c r="D1324" s="4" t="str">
        <f>"谢香梅"</f>
        <v>谢香梅</v>
      </c>
      <c r="E1324" s="4" t="str">
        <f t="shared" si="125"/>
        <v>女</v>
      </c>
    </row>
    <row r="1325" customHeight="1" spans="1:5">
      <c r="A1325" s="4">
        <v>1323</v>
      </c>
      <c r="B1325" s="4" t="str">
        <f>"431720220807235601233674"</f>
        <v>431720220807235601233674</v>
      </c>
      <c r="C1325" s="5" t="s">
        <v>16</v>
      </c>
      <c r="D1325" s="4" t="str">
        <f>"郑史冰"</f>
        <v>郑史冰</v>
      </c>
      <c r="E1325" s="4" t="str">
        <f t="shared" si="125"/>
        <v>女</v>
      </c>
    </row>
    <row r="1326" customHeight="1" spans="1:5">
      <c r="A1326" s="4">
        <v>1324</v>
      </c>
      <c r="B1326" s="4" t="str">
        <f>"431720220808115605235044"</f>
        <v>431720220808115605235044</v>
      </c>
      <c r="C1326" s="5" t="s">
        <v>16</v>
      </c>
      <c r="D1326" s="4" t="str">
        <f>"吴曾康"</f>
        <v>吴曾康</v>
      </c>
      <c r="E1326" s="4" t="str">
        <f>"男"</f>
        <v>男</v>
      </c>
    </row>
    <row r="1327" customHeight="1" spans="1:5">
      <c r="A1327" s="4">
        <v>1325</v>
      </c>
      <c r="B1327" s="4" t="str">
        <f>"431720220808131036235310"</f>
        <v>431720220808131036235310</v>
      </c>
      <c r="C1327" s="5" t="s">
        <v>16</v>
      </c>
      <c r="D1327" s="4" t="str">
        <f>"陈莹"</f>
        <v>陈莹</v>
      </c>
      <c r="E1327" s="4" t="str">
        <f t="shared" ref="E1327:E1330" si="126">"女"</f>
        <v>女</v>
      </c>
    </row>
    <row r="1328" customHeight="1" spans="1:5">
      <c r="A1328" s="4">
        <v>1326</v>
      </c>
      <c r="B1328" s="4" t="str">
        <f>"431720220808135140235414"</f>
        <v>431720220808135140235414</v>
      </c>
      <c r="C1328" s="5" t="s">
        <v>16</v>
      </c>
      <c r="D1328" s="4" t="str">
        <f>"林建娥"</f>
        <v>林建娥</v>
      </c>
      <c r="E1328" s="4" t="str">
        <f t="shared" si="126"/>
        <v>女</v>
      </c>
    </row>
    <row r="1329" customHeight="1" spans="1:5">
      <c r="A1329" s="4">
        <v>1327</v>
      </c>
      <c r="B1329" s="4" t="str">
        <f>"431720220808140303235438"</f>
        <v>431720220808140303235438</v>
      </c>
      <c r="C1329" s="5" t="s">
        <v>16</v>
      </c>
      <c r="D1329" s="4" t="str">
        <f>"符英玲"</f>
        <v>符英玲</v>
      </c>
      <c r="E1329" s="4" t="str">
        <f t="shared" si="126"/>
        <v>女</v>
      </c>
    </row>
    <row r="1330" customHeight="1" spans="1:5">
      <c r="A1330" s="4">
        <v>1328</v>
      </c>
      <c r="B1330" s="4" t="str">
        <f>"431720220808161500235847"</f>
        <v>431720220808161500235847</v>
      </c>
      <c r="C1330" s="5" t="s">
        <v>16</v>
      </c>
      <c r="D1330" s="4" t="str">
        <f>"符丽菲"</f>
        <v>符丽菲</v>
      </c>
      <c r="E1330" s="4" t="str">
        <f t="shared" si="126"/>
        <v>女</v>
      </c>
    </row>
    <row r="1331" customHeight="1" spans="1:5">
      <c r="A1331" s="4">
        <v>1329</v>
      </c>
      <c r="B1331" s="4" t="str">
        <f>"431720220808171926236066"</f>
        <v>431720220808171926236066</v>
      </c>
      <c r="C1331" s="5" t="s">
        <v>16</v>
      </c>
      <c r="D1331" s="4" t="str">
        <f>"吉训拓"</f>
        <v>吉训拓</v>
      </c>
      <c r="E1331" s="4" t="str">
        <f>"男"</f>
        <v>男</v>
      </c>
    </row>
    <row r="1332" customHeight="1" spans="1:5">
      <c r="A1332" s="4">
        <v>1330</v>
      </c>
      <c r="B1332" s="4" t="str">
        <f>"431720220808181257236208"</f>
        <v>431720220808181257236208</v>
      </c>
      <c r="C1332" s="5" t="s">
        <v>16</v>
      </c>
      <c r="D1332" s="4" t="str">
        <f>"李欣欣"</f>
        <v>李欣欣</v>
      </c>
      <c r="E1332" s="4" t="str">
        <f t="shared" ref="E1332:E1337" si="127">"女"</f>
        <v>女</v>
      </c>
    </row>
    <row r="1333" customHeight="1" spans="1:5">
      <c r="A1333" s="4">
        <v>1331</v>
      </c>
      <c r="B1333" s="4" t="str">
        <f>"431720220808184153236280"</f>
        <v>431720220808184153236280</v>
      </c>
      <c r="C1333" s="5" t="s">
        <v>16</v>
      </c>
      <c r="D1333" s="4" t="str">
        <f>"胡玉选"</f>
        <v>胡玉选</v>
      </c>
      <c r="E1333" s="4" t="str">
        <f t="shared" si="127"/>
        <v>女</v>
      </c>
    </row>
    <row r="1334" customHeight="1" spans="1:5">
      <c r="A1334" s="4">
        <v>1332</v>
      </c>
      <c r="B1334" s="4" t="str">
        <f>"431720220808191412236364"</f>
        <v>431720220808191412236364</v>
      </c>
      <c r="C1334" s="5" t="s">
        <v>16</v>
      </c>
      <c r="D1334" s="4" t="str">
        <f>"黄玲妹"</f>
        <v>黄玲妹</v>
      </c>
      <c r="E1334" s="4" t="str">
        <f t="shared" si="127"/>
        <v>女</v>
      </c>
    </row>
    <row r="1335" customHeight="1" spans="1:5">
      <c r="A1335" s="4">
        <v>1333</v>
      </c>
      <c r="B1335" s="4" t="str">
        <f>"431720220808201129236495"</f>
        <v>431720220808201129236495</v>
      </c>
      <c r="C1335" s="5" t="s">
        <v>16</v>
      </c>
      <c r="D1335" s="4" t="str">
        <f>"邓静兰"</f>
        <v>邓静兰</v>
      </c>
      <c r="E1335" s="4" t="str">
        <f t="shared" si="127"/>
        <v>女</v>
      </c>
    </row>
    <row r="1336" customHeight="1" spans="1:5">
      <c r="A1336" s="4">
        <v>1334</v>
      </c>
      <c r="B1336" s="4" t="str">
        <f>"431720220808211745236672"</f>
        <v>431720220808211745236672</v>
      </c>
      <c r="C1336" s="5" t="s">
        <v>16</v>
      </c>
      <c r="D1336" s="4" t="str">
        <f>"张燕芳"</f>
        <v>张燕芳</v>
      </c>
      <c r="E1336" s="4" t="str">
        <f t="shared" si="127"/>
        <v>女</v>
      </c>
    </row>
    <row r="1337" customHeight="1" spans="1:5">
      <c r="A1337" s="4">
        <v>1335</v>
      </c>
      <c r="B1337" s="4" t="str">
        <f>"431720220808215051236757"</f>
        <v>431720220808215051236757</v>
      </c>
      <c r="C1337" s="5" t="s">
        <v>16</v>
      </c>
      <c r="D1337" s="4" t="str">
        <f>"谢丽许"</f>
        <v>谢丽许</v>
      </c>
      <c r="E1337" s="4" t="str">
        <f t="shared" si="127"/>
        <v>女</v>
      </c>
    </row>
    <row r="1338" customHeight="1" spans="1:5">
      <c r="A1338" s="4">
        <v>1336</v>
      </c>
      <c r="B1338" s="4" t="str">
        <f>"431720220808215204236763"</f>
        <v>431720220808215204236763</v>
      </c>
      <c r="C1338" s="5" t="s">
        <v>16</v>
      </c>
      <c r="D1338" s="4" t="str">
        <f>"陈首憎"</f>
        <v>陈首憎</v>
      </c>
      <c r="E1338" s="4" t="str">
        <f>"男"</f>
        <v>男</v>
      </c>
    </row>
    <row r="1339" customHeight="1" spans="1:5">
      <c r="A1339" s="4">
        <v>1337</v>
      </c>
      <c r="B1339" s="4" t="str">
        <f>"431720220808221548236816"</f>
        <v>431720220808221548236816</v>
      </c>
      <c r="C1339" s="5" t="s">
        <v>16</v>
      </c>
      <c r="D1339" s="4" t="str">
        <f>"巩兴伟"</f>
        <v>巩兴伟</v>
      </c>
      <c r="E1339" s="4" t="str">
        <f>"男"</f>
        <v>男</v>
      </c>
    </row>
    <row r="1340" customHeight="1" spans="1:5">
      <c r="A1340" s="4">
        <v>1338</v>
      </c>
      <c r="B1340" s="4" t="str">
        <f>"431720220808230126236894"</f>
        <v>431720220808230126236894</v>
      </c>
      <c r="C1340" s="5" t="s">
        <v>16</v>
      </c>
      <c r="D1340" s="4" t="str">
        <f>"林秋凤"</f>
        <v>林秋凤</v>
      </c>
      <c r="E1340" s="4" t="str">
        <f t="shared" ref="E1340:E1348" si="128">"女"</f>
        <v>女</v>
      </c>
    </row>
    <row r="1341" customHeight="1" spans="1:5">
      <c r="A1341" s="4">
        <v>1339</v>
      </c>
      <c r="B1341" s="4" t="str">
        <f>"431720220808231741236906"</f>
        <v>431720220808231741236906</v>
      </c>
      <c r="C1341" s="5" t="s">
        <v>16</v>
      </c>
      <c r="D1341" s="4" t="str">
        <f>"陈龙燕"</f>
        <v>陈龙燕</v>
      </c>
      <c r="E1341" s="4" t="str">
        <f t="shared" si="128"/>
        <v>女</v>
      </c>
    </row>
    <row r="1342" customHeight="1" spans="1:5">
      <c r="A1342" s="4">
        <v>1340</v>
      </c>
      <c r="B1342" s="4" t="str">
        <f>"431720220809000819236944"</f>
        <v>431720220809000819236944</v>
      </c>
      <c r="C1342" s="5" t="s">
        <v>16</v>
      </c>
      <c r="D1342" s="4" t="str">
        <f>"陈莹"</f>
        <v>陈莹</v>
      </c>
      <c r="E1342" s="4" t="str">
        <f t="shared" si="128"/>
        <v>女</v>
      </c>
    </row>
    <row r="1343" customHeight="1" spans="1:5">
      <c r="A1343" s="4">
        <v>1341</v>
      </c>
      <c r="B1343" s="4" t="str">
        <f>"431720220809124252237822"</f>
        <v>431720220809124252237822</v>
      </c>
      <c r="C1343" s="5" t="s">
        <v>16</v>
      </c>
      <c r="D1343" s="4" t="str">
        <f>"王元乾"</f>
        <v>王元乾</v>
      </c>
      <c r="E1343" s="4" t="str">
        <f t="shared" si="128"/>
        <v>女</v>
      </c>
    </row>
    <row r="1344" customHeight="1" spans="1:5">
      <c r="A1344" s="4">
        <v>1342</v>
      </c>
      <c r="B1344" s="4" t="str">
        <f>"431720220809132509237935"</f>
        <v>431720220809132509237935</v>
      </c>
      <c r="C1344" s="5" t="s">
        <v>16</v>
      </c>
      <c r="D1344" s="4" t="str">
        <f>"卢苹"</f>
        <v>卢苹</v>
      </c>
      <c r="E1344" s="4" t="str">
        <f t="shared" si="128"/>
        <v>女</v>
      </c>
    </row>
    <row r="1345" customHeight="1" spans="1:5">
      <c r="A1345" s="4">
        <v>1343</v>
      </c>
      <c r="B1345" s="4" t="str">
        <f>"431720220809135655237986"</f>
        <v>431720220809135655237986</v>
      </c>
      <c r="C1345" s="5" t="s">
        <v>16</v>
      </c>
      <c r="D1345" s="4" t="str">
        <f>"王海珠"</f>
        <v>王海珠</v>
      </c>
      <c r="E1345" s="4" t="str">
        <f t="shared" si="128"/>
        <v>女</v>
      </c>
    </row>
    <row r="1346" customHeight="1" spans="1:5">
      <c r="A1346" s="4">
        <v>1344</v>
      </c>
      <c r="B1346" s="4" t="str">
        <f>"431720220809171251238446"</f>
        <v>431720220809171251238446</v>
      </c>
      <c r="C1346" s="5" t="s">
        <v>16</v>
      </c>
      <c r="D1346" s="4" t="str">
        <f>"翁敏"</f>
        <v>翁敏</v>
      </c>
      <c r="E1346" s="4" t="str">
        <f t="shared" si="128"/>
        <v>女</v>
      </c>
    </row>
    <row r="1347" customHeight="1" spans="1:5">
      <c r="A1347" s="4">
        <v>1345</v>
      </c>
      <c r="B1347" s="4" t="str">
        <f>"431720220809184127238592"</f>
        <v>431720220809184127238592</v>
      </c>
      <c r="C1347" s="5" t="s">
        <v>16</v>
      </c>
      <c r="D1347" s="4" t="str">
        <f>"李寒"</f>
        <v>李寒</v>
      </c>
      <c r="E1347" s="4" t="str">
        <f t="shared" si="128"/>
        <v>女</v>
      </c>
    </row>
    <row r="1348" customHeight="1" spans="1:5">
      <c r="A1348" s="4">
        <v>1346</v>
      </c>
      <c r="B1348" s="4" t="str">
        <f>"431720220809184241238597"</f>
        <v>431720220809184241238597</v>
      </c>
      <c r="C1348" s="5" t="s">
        <v>16</v>
      </c>
      <c r="D1348" s="4" t="str">
        <f>"李娟娟"</f>
        <v>李娟娟</v>
      </c>
      <c r="E1348" s="4" t="str">
        <f t="shared" si="128"/>
        <v>女</v>
      </c>
    </row>
    <row r="1349" customHeight="1" spans="1:5">
      <c r="A1349" s="4">
        <v>1347</v>
      </c>
      <c r="B1349" s="4" t="str">
        <f>"431720220809193315238678"</f>
        <v>431720220809193315238678</v>
      </c>
      <c r="C1349" s="5" t="s">
        <v>16</v>
      </c>
      <c r="D1349" s="4" t="str">
        <f>"谢梓申"</f>
        <v>谢梓申</v>
      </c>
      <c r="E1349" s="4" t="str">
        <f>"男"</f>
        <v>男</v>
      </c>
    </row>
    <row r="1350" customHeight="1" spans="1:5">
      <c r="A1350" s="4">
        <v>1348</v>
      </c>
      <c r="B1350" s="4" t="str">
        <f>"431720220810100218239638"</f>
        <v>431720220810100218239638</v>
      </c>
      <c r="C1350" s="5" t="s">
        <v>16</v>
      </c>
      <c r="D1350" s="4" t="str">
        <f>"李芬叶"</f>
        <v>李芬叶</v>
      </c>
      <c r="E1350" s="4" t="str">
        <f t="shared" ref="E1350:E1357" si="129">"女"</f>
        <v>女</v>
      </c>
    </row>
    <row r="1351" customHeight="1" spans="1:5">
      <c r="A1351" s="4">
        <v>1349</v>
      </c>
      <c r="B1351" s="4" t="str">
        <f>"431720220810103448239763"</f>
        <v>431720220810103448239763</v>
      </c>
      <c r="C1351" s="5" t="s">
        <v>16</v>
      </c>
      <c r="D1351" s="4" t="str">
        <f>"邱雪"</f>
        <v>邱雪</v>
      </c>
      <c r="E1351" s="4" t="str">
        <f t="shared" si="129"/>
        <v>女</v>
      </c>
    </row>
    <row r="1352" customHeight="1" spans="1:5">
      <c r="A1352" s="4">
        <v>1350</v>
      </c>
      <c r="B1352" s="4" t="str">
        <f>"431720220810110510239857"</f>
        <v>431720220810110510239857</v>
      </c>
      <c r="C1352" s="5" t="s">
        <v>16</v>
      </c>
      <c r="D1352" s="4" t="str">
        <f>"罗欢"</f>
        <v>罗欢</v>
      </c>
      <c r="E1352" s="4" t="str">
        <f t="shared" si="129"/>
        <v>女</v>
      </c>
    </row>
    <row r="1353" customHeight="1" spans="1:5">
      <c r="A1353" s="4">
        <v>1351</v>
      </c>
      <c r="B1353" s="4" t="str">
        <f>"431720220810140134240317"</f>
        <v>431720220810140134240317</v>
      </c>
      <c r="C1353" s="5" t="s">
        <v>16</v>
      </c>
      <c r="D1353" s="4" t="str">
        <f>"张新燕"</f>
        <v>张新燕</v>
      </c>
      <c r="E1353" s="4" t="str">
        <f t="shared" si="129"/>
        <v>女</v>
      </c>
    </row>
    <row r="1354" customHeight="1" spans="1:5">
      <c r="A1354" s="4">
        <v>1352</v>
      </c>
      <c r="B1354" s="4" t="str">
        <f>"431720220810185433241115"</f>
        <v>431720220810185433241115</v>
      </c>
      <c r="C1354" s="5" t="s">
        <v>16</v>
      </c>
      <c r="D1354" s="4" t="str">
        <f>"李先先"</f>
        <v>李先先</v>
      </c>
      <c r="E1354" s="4" t="str">
        <f t="shared" si="129"/>
        <v>女</v>
      </c>
    </row>
    <row r="1355" customHeight="1" spans="1:5">
      <c r="A1355" s="4">
        <v>1353</v>
      </c>
      <c r="B1355" s="4" t="str">
        <f>"431720220810212949241477"</f>
        <v>431720220810212949241477</v>
      </c>
      <c r="C1355" s="5" t="s">
        <v>16</v>
      </c>
      <c r="D1355" s="4" t="str">
        <f>"张茜"</f>
        <v>张茜</v>
      </c>
      <c r="E1355" s="4" t="str">
        <f t="shared" si="129"/>
        <v>女</v>
      </c>
    </row>
    <row r="1356" customHeight="1" spans="1:5">
      <c r="A1356" s="4">
        <v>1354</v>
      </c>
      <c r="B1356" s="4" t="str">
        <f>"431720220810223010241630"</f>
        <v>431720220810223010241630</v>
      </c>
      <c r="C1356" s="5" t="s">
        <v>16</v>
      </c>
      <c r="D1356" s="4" t="str">
        <f>"陈丽君"</f>
        <v>陈丽君</v>
      </c>
      <c r="E1356" s="4" t="str">
        <f t="shared" si="129"/>
        <v>女</v>
      </c>
    </row>
    <row r="1357" customHeight="1" spans="1:5">
      <c r="A1357" s="4">
        <v>1355</v>
      </c>
      <c r="B1357" s="4" t="str">
        <f>"431720220810223540241645"</f>
        <v>431720220810223540241645</v>
      </c>
      <c r="C1357" s="5" t="s">
        <v>16</v>
      </c>
      <c r="D1357" s="4" t="str">
        <f>"洪小曼"</f>
        <v>洪小曼</v>
      </c>
      <c r="E1357" s="4" t="str">
        <f t="shared" si="129"/>
        <v>女</v>
      </c>
    </row>
    <row r="1358" customHeight="1" spans="1:5">
      <c r="A1358" s="4">
        <v>1356</v>
      </c>
      <c r="B1358" s="4" t="str">
        <f>"431720220810231010241703"</f>
        <v>431720220810231010241703</v>
      </c>
      <c r="C1358" s="5" t="s">
        <v>16</v>
      </c>
      <c r="D1358" s="4" t="str">
        <f>"唐传良"</f>
        <v>唐传良</v>
      </c>
      <c r="E1358" s="4" t="str">
        <f>"男"</f>
        <v>男</v>
      </c>
    </row>
    <row r="1359" customHeight="1" spans="1:5">
      <c r="A1359" s="4">
        <v>1357</v>
      </c>
      <c r="B1359" s="4" t="str">
        <f>"431720220810232405241727"</f>
        <v>431720220810232405241727</v>
      </c>
      <c r="C1359" s="5" t="s">
        <v>16</v>
      </c>
      <c r="D1359" s="4" t="str">
        <f>"李珊"</f>
        <v>李珊</v>
      </c>
      <c r="E1359" s="4" t="str">
        <f t="shared" ref="E1359:E1371" si="130">"女"</f>
        <v>女</v>
      </c>
    </row>
    <row r="1360" customHeight="1" spans="1:5">
      <c r="A1360" s="4">
        <v>1358</v>
      </c>
      <c r="B1360" s="4" t="str">
        <f>"431720220811102028242281"</f>
        <v>431720220811102028242281</v>
      </c>
      <c r="C1360" s="5" t="s">
        <v>16</v>
      </c>
      <c r="D1360" s="4" t="str">
        <f>"李小雪"</f>
        <v>李小雪</v>
      </c>
      <c r="E1360" s="4" t="str">
        <f t="shared" si="130"/>
        <v>女</v>
      </c>
    </row>
    <row r="1361" customHeight="1" spans="1:5">
      <c r="A1361" s="4">
        <v>1359</v>
      </c>
      <c r="B1361" s="4" t="str">
        <f>"431720220811104937242385"</f>
        <v>431720220811104937242385</v>
      </c>
      <c r="C1361" s="5" t="s">
        <v>16</v>
      </c>
      <c r="D1361" s="4" t="str">
        <f>"王静"</f>
        <v>王静</v>
      </c>
      <c r="E1361" s="4" t="str">
        <f t="shared" si="130"/>
        <v>女</v>
      </c>
    </row>
    <row r="1362" customHeight="1" spans="1:5">
      <c r="A1362" s="4">
        <v>1360</v>
      </c>
      <c r="B1362" s="4" t="str">
        <f>"431720220811123525242679"</f>
        <v>431720220811123525242679</v>
      </c>
      <c r="C1362" s="5" t="s">
        <v>16</v>
      </c>
      <c r="D1362" s="4" t="str">
        <f>"王壮妹"</f>
        <v>王壮妹</v>
      </c>
      <c r="E1362" s="4" t="str">
        <f t="shared" si="130"/>
        <v>女</v>
      </c>
    </row>
    <row r="1363" customHeight="1" spans="1:5">
      <c r="A1363" s="4">
        <v>1361</v>
      </c>
      <c r="B1363" s="4" t="str">
        <f>"431720220811152849243178"</f>
        <v>431720220811152849243178</v>
      </c>
      <c r="C1363" s="5" t="s">
        <v>16</v>
      </c>
      <c r="D1363" s="4" t="str">
        <f>"万钦虹"</f>
        <v>万钦虹</v>
      </c>
      <c r="E1363" s="4" t="str">
        <f t="shared" si="130"/>
        <v>女</v>
      </c>
    </row>
    <row r="1364" customHeight="1" spans="1:5">
      <c r="A1364" s="4">
        <v>1362</v>
      </c>
      <c r="B1364" s="4" t="str">
        <f>"431720220811163741243385"</f>
        <v>431720220811163741243385</v>
      </c>
      <c r="C1364" s="5" t="s">
        <v>16</v>
      </c>
      <c r="D1364" s="4" t="str">
        <f>"吴淑萍"</f>
        <v>吴淑萍</v>
      </c>
      <c r="E1364" s="4" t="str">
        <f t="shared" si="130"/>
        <v>女</v>
      </c>
    </row>
    <row r="1365" customHeight="1" spans="1:5">
      <c r="A1365" s="4">
        <v>1363</v>
      </c>
      <c r="B1365" s="4" t="str">
        <f>"431720220811164424243410"</f>
        <v>431720220811164424243410</v>
      </c>
      <c r="C1365" s="5" t="s">
        <v>16</v>
      </c>
      <c r="D1365" s="4" t="str">
        <f>"刘凤婷"</f>
        <v>刘凤婷</v>
      </c>
      <c r="E1365" s="4" t="str">
        <f t="shared" si="130"/>
        <v>女</v>
      </c>
    </row>
    <row r="1366" customHeight="1" spans="1:5">
      <c r="A1366" s="4">
        <v>1364</v>
      </c>
      <c r="B1366" s="4" t="str">
        <f>"431720220811170013243457"</f>
        <v>431720220811170013243457</v>
      </c>
      <c r="C1366" s="5" t="s">
        <v>16</v>
      </c>
      <c r="D1366" s="4" t="str">
        <f>"谢昭彦"</f>
        <v>谢昭彦</v>
      </c>
      <c r="E1366" s="4" t="str">
        <f t="shared" si="130"/>
        <v>女</v>
      </c>
    </row>
    <row r="1367" customHeight="1" spans="1:5">
      <c r="A1367" s="4">
        <v>1365</v>
      </c>
      <c r="B1367" s="4" t="str">
        <f>"431720220811173309243511"</f>
        <v>431720220811173309243511</v>
      </c>
      <c r="C1367" s="5" t="s">
        <v>16</v>
      </c>
      <c r="D1367" s="4" t="str">
        <f>"王小柳"</f>
        <v>王小柳</v>
      </c>
      <c r="E1367" s="4" t="str">
        <f t="shared" si="130"/>
        <v>女</v>
      </c>
    </row>
    <row r="1368" customHeight="1" spans="1:5">
      <c r="A1368" s="4">
        <v>1366</v>
      </c>
      <c r="B1368" s="4" t="str">
        <f>"431720220811175147243522"</f>
        <v>431720220811175147243522</v>
      </c>
      <c r="C1368" s="5" t="s">
        <v>16</v>
      </c>
      <c r="D1368" s="4" t="str">
        <f>"洪小娇"</f>
        <v>洪小娇</v>
      </c>
      <c r="E1368" s="4" t="str">
        <f t="shared" si="130"/>
        <v>女</v>
      </c>
    </row>
    <row r="1369" customHeight="1" spans="1:5">
      <c r="A1369" s="4">
        <v>1367</v>
      </c>
      <c r="B1369" s="4" t="str">
        <f>"431720220811175306243523"</f>
        <v>431720220811175306243523</v>
      </c>
      <c r="C1369" s="5" t="s">
        <v>16</v>
      </c>
      <c r="D1369" s="4" t="str">
        <f>"何泽玲"</f>
        <v>何泽玲</v>
      </c>
      <c r="E1369" s="4" t="str">
        <f t="shared" si="130"/>
        <v>女</v>
      </c>
    </row>
    <row r="1370" customHeight="1" spans="1:5">
      <c r="A1370" s="4">
        <v>1368</v>
      </c>
      <c r="B1370" s="4" t="str">
        <f>"431720220811194927243584"</f>
        <v>431720220811194927243584</v>
      </c>
      <c r="C1370" s="5" t="s">
        <v>16</v>
      </c>
      <c r="D1370" s="4" t="str">
        <f>"周林琳"</f>
        <v>周林琳</v>
      </c>
      <c r="E1370" s="4" t="str">
        <f t="shared" si="130"/>
        <v>女</v>
      </c>
    </row>
    <row r="1371" customHeight="1" spans="1:5">
      <c r="A1371" s="4">
        <v>1369</v>
      </c>
      <c r="B1371" s="4" t="str">
        <f>"431720220811212519243638"</f>
        <v>431720220811212519243638</v>
      </c>
      <c r="C1371" s="5" t="s">
        <v>16</v>
      </c>
      <c r="D1371" s="4" t="str">
        <f>"陈真霞"</f>
        <v>陈真霞</v>
      </c>
      <c r="E1371" s="4" t="str">
        <f t="shared" si="130"/>
        <v>女</v>
      </c>
    </row>
    <row r="1372" customHeight="1" spans="1:5">
      <c r="A1372" s="4">
        <v>1370</v>
      </c>
      <c r="B1372" s="4" t="str">
        <f>"431720220811232705243713"</f>
        <v>431720220811232705243713</v>
      </c>
      <c r="C1372" s="5" t="s">
        <v>16</v>
      </c>
      <c r="D1372" s="4" t="str">
        <f>"吴宏亮"</f>
        <v>吴宏亮</v>
      </c>
      <c r="E1372" s="4" t="str">
        <f t="shared" ref="E1372:E1376" si="131">"男"</f>
        <v>男</v>
      </c>
    </row>
    <row r="1373" customHeight="1" spans="1:5">
      <c r="A1373" s="4">
        <v>1371</v>
      </c>
      <c r="B1373" s="4" t="str">
        <f>"431720220811232854243716"</f>
        <v>431720220811232854243716</v>
      </c>
      <c r="C1373" s="5" t="s">
        <v>16</v>
      </c>
      <c r="D1373" s="4" t="str">
        <f>"苏彬"</f>
        <v>苏彬</v>
      </c>
      <c r="E1373" s="4" t="str">
        <f t="shared" si="131"/>
        <v>男</v>
      </c>
    </row>
    <row r="1374" customHeight="1" spans="1:5">
      <c r="A1374" s="4">
        <v>1372</v>
      </c>
      <c r="B1374" s="4" t="str">
        <f>"431720220812002510243746"</f>
        <v>431720220812002510243746</v>
      </c>
      <c r="C1374" s="5" t="s">
        <v>16</v>
      </c>
      <c r="D1374" s="4" t="str">
        <f>"韦爱民"</f>
        <v>韦爱民</v>
      </c>
      <c r="E1374" s="4" t="str">
        <f t="shared" ref="E1374:E1380" si="132">"女"</f>
        <v>女</v>
      </c>
    </row>
    <row r="1375" customHeight="1" spans="1:5">
      <c r="A1375" s="4">
        <v>1373</v>
      </c>
      <c r="B1375" s="4" t="str">
        <f>"431720220812053200243763"</f>
        <v>431720220812053200243763</v>
      </c>
      <c r="C1375" s="5" t="s">
        <v>16</v>
      </c>
      <c r="D1375" s="4" t="str">
        <f>"李岩带"</f>
        <v>李岩带</v>
      </c>
      <c r="E1375" s="4" t="str">
        <f t="shared" si="132"/>
        <v>女</v>
      </c>
    </row>
    <row r="1376" customHeight="1" spans="1:5">
      <c r="A1376" s="4">
        <v>1374</v>
      </c>
      <c r="B1376" s="4" t="str">
        <f>"431720220812091037243839"</f>
        <v>431720220812091037243839</v>
      </c>
      <c r="C1376" s="5" t="s">
        <v>16</v>
      </c>
      <c r="D1376" s="4" t="str">
        <f>"徐启溯"</f>
        <v>徐启溯</v>
      </c>
      <c r="E1376" s="4" t="str">
        <f t="shared" si="131"/>
        <v>男</v>
      </c>
    </row>
    <row r="1377" customHeight="1" spans="1:5">
      <c r="A1377" s="4">
        <v>1375</v>
      </c>
      <c r="B1377" s="4" t="str">
        <f>"431720220812091924243856"</f>
        <v>431720220812091924243856</v>
      </c>
      <c r="C1377" s="5" t="s">
        <v>16</v>
      </c>
      <c r="D1377" s="4" t="str">
        <f>"郑胜蓝"</f>
        <v>郑胜蓝</v>
      </c>
      <c r="E1377" s="4" t="str">
        <f t="shared" si="132"/>
        <v>女</v>
      </c>
    </row>
    <row r="1378" customHeight="1" spans="1:5">
      <c r="A1378" s="4">
        <v>1376</v>
      </c>
      <c r="B1378" s="4" t="str">
        <f>"431720220812111911244082"</f>
        <v>431720220812111911244082</v>
      </c>
      <c r="C1378" s="5" t="s">
        <v>16</v>
      </c>
      <c r="D1378" s="4" t="str">
        <f>"杨杨"</f>
        <v>杨杨</v>
      </c>
      <c r="E1378" s="4" t="str">
        <f t="shared" si="132"/>
        <v>女</v>
      </c>
    </row>
    <row r="1379" customHeight="1" spans="1:5">
      <c r="A1379" s="4">
        <v>1377</v>
      </c>
      <c r="B1379" s="4" t="str">
        <f>"431720220812113722244109"</f>
        <v>431720220812113722244109</v>
      </c>
      <c r="C1379" s="5" t="s">
        <v>16</v>
      </c>
      <c r="D1379" s="4" t="str">
        <f>"孙洁"</f>
        <v>孙洁</v>
      </c>
      <c r="E1379" s="4" t="str">
        <f t="shared" si="132"/>
        <v>女</v>
      </c>
    </row>
    <row r="1380" customHeight="1" spans="1:5">
      <c r="A1380" s="4">
        <v>1378</v>
      </c>
      <c r="B1380" s="4" t="str">
        <f>"431720220812115636244136"</f>
        <v>431720220812115636244136</v>
      </c>
      <c r="C1380" s="5" t="s">
        <v>16</v>
      </c>
      <c r="D1380" s="4" t="str">
        <f>"王环"</f>
        <v>王环</v>
      </c>
      <c r="E1380" s="4" t="str">
        <f t="shared" si="132"/>
        <v>女</v>
      </c>
    </row>
    <row r="1381" customHeight="1" spans="1:5">
      <c r="A1381" s="4">
        <v>1379</v>
      </c>
      <c r="B1381" s="4" t="str">
        <f>"431720220812115715244139"</f>
        <v>431720220812115715244139</v>
      </c>
      <c r="C1381" s="5" t="s">
        <v>16</v>
      </c>
      <c r="D1381" s="4" t="str">
        <f>"唐彪"</f>
        <v>唐彪</v>
      </c>
      <c r="E1381" s="4" t="str">
        <f>"男"</f>
        <v>男</v>
      </c>
    </row>
    <row r="1382" customHeight="1" spans="1:5">
      <c r="A1382" s="4">
        <v>1380</v>
      </c>
      <c r="B1382" s="4" t="str">
        <f>"431720220812135606244273"</f>
        <v>431720220812135606244273</v>
      </c>
      <c r="C1382" s="5" t="s">
        <v>16</v>
      </c>
      <c r="D1382" s="4" t="str">
        <f>"詹凌梅"</f>
        <v>詹凌梅</v>
      </c>
      <c r="E1382" s="4" t="str">
        <f t="shared" ref="E1382:E1389" si="133">"女"</f>
        <v>女</v>
      </c>
    </row>
    <row r="1383" customHeight="1" spans="1:5">
      <c r="A1383" s="4">
        <v>1381</v>
      </c>
      <c r="B1383" s="4" t="str">
        <f>"431720220812140133244282"</f>
        <v>431720220812140133244282</v>
      </c>
      <c r="C1383" s="5" t="s">
        <v>16</v>
      </c>
      <c r="D1383" s="4" t="str">
        <f>"陈金燕"</f>
        <v>陈金燕</v>
      </c>
      <c r="E1383" s="4" t="str">
        <f t="shared" si="133"/>
        <v>女</v>
      </c>
    </row>
    <row r="1384" customHeight="1" spans="1:5">
      <c r="A1384" s="4">
        <v>1382</v>
      </c>
      <c r="B1384" s="4" t="str">
        <f>"431720220812151704244364"</f>
        <v>431720220812151704244364</v>
      </c>
      <c r="C1384" s="5" t="s">
        <v>16</v>
      </c>
      <c r="D1384" s="4" t="str">
        <f>"郭杜娟"</f>
        <v>郭杜娟</v>
      </c>
      <c r="E1384" s="4" t="str">
        <f t="shared" si="133"/>
        <v>女</v>
      </c>
    </row>
    <row r="1385" customHeight="1" spans="1:5">
      <c r="A1385" s="4">
        <v>1383</v>
      </c>
      <c r="B1385" s="4" t="str">
        <f>"431720220812154252244402"</f>
        <v>431720220812154252244402</v>
      </c>
      <c r="C1385" s="5" t="s">
        <v>16</v>
      </c>
      <c r="D1385" s="4" t="str">
        <f>"郭金萍"</f>
        <v>郭金萍</v>
      </c>
      <c r="E1385" s="4" t="str">
        <f t="shared" si="133"/>
        <v>女</v>
      </c>
    </row>
    <row r="1386" customHeight="1" spans="1:5">
      <c r="A1386" s="4">
        <v>1384</v>
      </c>
      <c r="B1386" s="4" t="str">
        <f>"431720220806090445231191"</f>
        <v>431720220806090445231191</v>
      </c>
      <c r="C1386" s="5" t="s">
        <v>17</v>
      </c>
      <c r="D1386" s="4" t="str">
        <f>"林芳金"</f>
        <v>林芳金</v>
      </c>
      <c r="E1386" s="4" t="str">
        <f t="shared" si="133"/>
        <v>女</v>
      </c>
    </row>
    <row r="1387" customHeight="1" spans="1:5">
      <c r="A1387" s="4">
        <v>1385</v>
      </c>
      <c r="B1387" s="4" t="str">
        <f>"431720220806094803231335"</f>
        <v>431720220806094803231335</v>
      </c>
      <c r="C1387" s="5" t="s">
        <v>17</v>
      </c>
      <c r="D1387" s="4" t="str">
        <f>"高方红"</f>
        <v>高方红</v>
      </c>
      <c r="E1387" s="4" t="str">
        <f t="shared" si="133"/>
        <v>女</v>
      </c>
    </row>
    <row r="1388" customHeight="1" spans="1:5">
      <c r="A1388" s="4">
        <v>1386</v>
      </c>
      <c r="B1388" s="4" t="str">
        <f>"431720220806095030231348"</f>
        <v>431720220806095030231348</v>
      </c>
      <c r="C1388" s="5" t="s">
        <v>17</v>
      </c>
      <c r="D1388" s="4" t="str">
        <f>"张旭秀"</f>
        <v>张旭秀</v>
      </c>
      <c r="E1388" s="4" t="str">
        <f t="shared" si="133"/>
        <v>女</v>
      </c>
    </row>
    <row r="1389" customHeight="1" spans="1:5">
      <c r="A1389" s="4">
        <v>1387</v>
      </c>
      <c r="B1389" s="4" t="str">
        <f>"431720220806101455231426"</f>
        <v>431720220806101455231426</v>
      </c>
      <c r="C1389" s="5" t="s">
        <v>17</v>
      </c>
      <c r="D1389" s="4" t="str">
        <f>"陈燕妹"</f>
        <v>陈燕妹</v>
      </c>
      <c r="E1389" s="4" t="str">
        <f t="shared" si="133"/>
        <v>女</v>
      </c>
    </row>
    <row r="1390" customHeight="1" spans="1:5">
      <c r="A1390" s="4">
        <v>1388</v>
      </c>
      <c r="B1390" s="4" t="str">
        <f>"431720220806105125231536"</f>
        <v>431720220806105125231536</v>
      </c>
      <c r="C1390" s="5" t="s">
        <v>17</v>
      </c>
      <c r="D1390" s="4" t="str">
        <f>"陈良观"</f>
        <v>陈良观</v>
      </c>
      <c r="E1390" s="4" t="str">
        <f>"男"</f>
        <v>男</v>
      </c>
    </row>
    <row r="1391" customHeight="1" spans="1:5">
      <c r="A1391" s="4">
        <v>1389</v>
      </c>
      <c r="B1391" s="4" t="str">
        <f>"431720220806111547231616"</f>
        <v>431720220806111547231616</v>
      </c>
      <c r="C1391" s="5" t="s">
        <v>17</v>
      </c>
      <c r="D1391" s="4" t="str">
        <f>"史勤霞"</f>
        <v>史勤霞</v>
      </c>
      <c r="E1391" s="4" t="str">
        <f t="shared" ref="E1391:E1395" si="134">"女"</f>
        <v>女</v>
      </c>
    </row>
    <row r="1392" customHeight="1" spans="1:5">
      <c r="A1392" s="4">
        <v>1390</v>
      </c>
      <c r="B1392" s="4" t="str">
        <f>"431720220806113153231673"</f>
        <v>431720220806113153231673</v>
      </c>
      <c r="C1392" s="5" t="s">
        <v>17</v>
      </c>
      <c r="D1392" s="4" t="str">
        <f>"符春蕾"</f>
        <v>符春蕾</v>
      </c>
      <c r="E1392" s="4" t="str">
        <f t="shared" si="134"/>
        <v>女</v>
      </c>
    </row>
    <row r="1393" customHeight="1" spans="1:5">
      <c r="A1393" s="4">
        <v>1391</v>
      </c>
      <c r="B1393" s="4" t="str">
        <f>"431720220806115649231744"</f>
        <v>431720220806115649231744</v>
      </c>
      <c r="C1393" s="5" t="s">
        <v>17</v>
      </c>
      <c r="D1393" s="4" t="str">
        <f>"曹杨琪"</f>
        <v>曹杨琪</v>
      </c>
      <c r="E1393" s="4" t="str">
        <f t="shared" si="134"/>
        <v>女</v>
      </c>
    </row>
    <row r="1394" customHeight="1" spans="1:5">
      <c r="A1394" s="4">
        <v>1392</v>
      </c>
      <c r="B1394" s="4" t="str">
        <f>"431720220806123158231835"</f>
        <v>431720220806123158231835</v>
      </c>
      <c r="C1394" s="5" t="s">
        <v>17</v>
      </c>
      <c r="D1394" s="4" t="str">
        <f>"苏家露"</f>
        <v>苏家露</v>
      </c>
      <c r="E1394" s="4" t="str">
        <f t="shared" si="134"/>
        <v>女</v>
      </c>
    </row>
    <row r="1395" customHeight="1" spans="1:5">
      <c r="A1395" s="4">
        <v>1393</v>
      </c>
      <c r="B1395" s="4" t="str">
        <f>"431720220806123508231846"</f>
        <v>431720220806123508231846</v>
      </c>
      <c r="C1395" s="5" t="s">
        <v>17</v>
      </c>
      <c r="D1395" s="4" t="str">
        <f>"罗彩玲"</f>
        <v>罗彩玲</v>
      </c>
      <c r="E1395" s="4" t="str">
        <f t="shared" si="134"/>
        <v>女</v>
      </c>
    </row>
    <row r="1396" customHeight="1" spans="1:5">
      <c r="A1396" s="4">
        <v>1394</v>
      </c>
      <c r="B1396" s="4" t="str">
        <f>"431720220806132235231977"</f>
        <v>431720220806132235231977</v>
      </c>
      <c r="C1396" s="5" t="s">
        <v>17</v>
      </c>
      <c r="D1396" s="4" t="str">
        <f>"谢林海"</f>
        <v>谢林海</v>
      </c>
      <c r="E1396" s="4" t="str">
        <f t="shared" ref="E1396:E1399" si="135">"男"</f>
        <v>男</v>
      </c>
    </row>
    <row r="1397" customHeight="1" spans="1:5">
      <c r="A1397" s="4">
        <v>1395</v>
      </c>
      <c r="B1397" s="4" t="str">
        <f>"431720220806134318232026"</f>
        <v>431720220806134318232026</v>
      </c>
      <c r="C1397" s="5" t="s">
        <v>17</v>
      </c>
      <c r="D1397" s="4" t="str">
        <f>"符传林"</f>
        <v>符传林</v>
      </c>
      <c r="E1397" s="4" t="str">
        <f t="shared" si="135"/>
        <v>男</v>
      </c>
    </row>
    <row r="1398" customHeight="1" spans="1:5">
      <c r="A1398" s="4">
        <v>1396</v>
      </c>
      <c r="B1398" s="4" t="str">
        <f>"431720220806140944232084"</f>
        <v>431720220806140944232084</v>
      </c>
      <c r="C1398" s="5" t="s">
        <v>17</v>
      </c>
      <c r="D1398" s="4" t="str">
        <f>"陈小钰"</f>
        <v>陈小钰</v>
      </c>
      <c r="E1398" s="4" t="str">
        <f t="shared" ref="E1398:E1402" si="136">"女"</f>
        <v>女</v>
      </c>
    </row>
    <row r="1399" customHeight="1" spans="1:5">
      <c r="A1399" s="4">
        <v>1397</v>
      </c>
      <c r="B1399" s="4" t="str">
        <f>"431720220806143723232128"</f>
        <v>431720220806143723232128</v>
      </c>
      <c r="C1399" s="5" t="s">
        <v>17</v>
      </c>
      <c r="D1399" s="4" t="str">
        <f>"杜定总"</f>
        <v>杜定总</v>
      </c>
      <c r="E1399" s="4" t="str">
        <f t="shared" si="135"/>
        <v>男</v>
      </c>
    </row>
    <row r="1400" customHeight="1" spans="1:5">
      <c r="A1400" s="4">
        <v>1398</v>
      </c>
      <c r="B1400" s="4" t="str">
        <f>"431720220806144124232139"</f>
        <v>431720220806144124232139</v>
      </c>
      <c r="C1400" s="5" t="s">
        <v>17</v>
      </c>
      <c r="D1400" s="4" t="str">
        <f>"黄亚媛"</f>
        <v>黄亚媛</v>
      </c>
      <c r="E1400" s="4" t="str">
        <f t="shared" si="136"/>
        <v>女</v>
      </c>
    </row>
    <row r="1401" customHeight="1" spans="1:5">
      <c r="A1401" s="4">
        <v>1399</v>
      </c>
      <c r="B1401" s="4" t="str">
        <f>"431720220806152157232223"</f>
        <v>431720220806152157232223</v>
      </c>
      <c r="C1401" s="5" t="s">
        <v>17</v>
      </c>
      <c r="D1401" s="4" t="str">
        <f>"蒋亦媛"</f>
        <v>蒋亦媛</v>
      </c>
      <c r="E1401" s="4" t="str">
        <f t="shared" si="136"/>
        <v>女</v>
      </c>
    </row>
    <row r="1402" customHeight="1" spans="1:5">
      <c r="A1402" s="4">
        <v>1400</v>
      </c>
      <c r="B1402" s="4" t="str">
        <f>"431720220806155132232282"</f>
        <v>431720220806155132232282</v>
      </c>
      <c r="C1402" s="5" t="s">
        <v>17</v>
      </c>
      <c r="D1402" s="4" t="str">
        <f>"龙嫔嫔"</f>
        <v>龙嫔嫔</v>
      </c>
      <c r="E1402" s="4" t="str">
        <f t="shared" si="136"/>
        <v>女</v>
      </c>
    </row>
    <row r="1403" customHeight="1" spans="1:5">
      <c r="A1403" s="4">
        <v>1401</v>
      </c>
      <c r="B1403" s="4" t="str">
        <f>"431720220806162553232354"</f>
        <v>431720220806162553232354</v>
      </c>
      <c r="C1403" s="5" t="s">
        <v>17</v>
      </c>
      <c r="D1403" s="4" t="str">
        <f>"吴清存"</f>
        <v>吴清存</v>
      </c>
      <c r="E1403" s="4" t="str">
        <f>"男"</f>
        <v>男</v>
      </c>
    </row>
    <row r="1404" customHeight="1" spans="1:5">
      <c r="A1404" s="4">
        <v>1402</v>
      </c>
      <c r="B1404" s="4" t="str">
        <f>"431720220806174922232512"</f>
        <v>431720220806174922232512</v>
      </c>
      <c r="C1404" s="5" t="s">
        <v>17</v>
      </c>
      <c r="D1404" s="4" t="str">
        <f>"王惠敏"</f>
        <v>王惠敏</v>
      </c>
      <c r="E1404" s="4" t="str">
        <f t="shared" ref="E1404:E1408" si="137">"女"</f>
        <v>女</v>
      </c>
    </row>
    <row r="1405" customHeight="1" spans="1:5">
      <c r="A1405" s="4">
        <v>1403</v>
      </c>
      <c r="B1405" s="4" t="str">
        <f>"431720220806175306232518"</f>
        <v>431720220806175306232518</v>
      </c>
      <c r="C1405" s="5" t="s">
        <v>17</v>
      </c>
      <c r="D1405" s="4" t="str">
        <f>"张才欢"</f>
        <v>张才欢</v>
      </c>
      <c r="E1405" s="4" t="str">
        <f t="shared" si="137"/>
        <v>女</v>
      </c>
    </row>
    <row r="1406" customHeight="1" spans="1:5">
      <c r="A1406" s="4">
        <v>1404</v>
      </c>
      <c r="B1406" s="4" t="str">
        <f>"431720220806194530232639"</f>
        <v>431720220806194530232639</v>
      </c>
      <c r="C1406" s="5" t="s">
        <v>17</v>
      </c>
      <c r="D1406" s="4" t="str">
        <f>"张春霞"</f>
        <v>张春霞</v>
      </c>
      <c r="E1406" s="4" t="str">
        <f t="shared" si="137"/>
        <v>女</v>
      </c>
    </row>
    <row r="1407" customHeight="1" spans="1:5">
      <c r="A1407" s="4">
        <v>1405</v>
      </c>
      <c r="B1407" s="4" t="str">
        <f>"431720220806195749232653"</f>
        <v>431720220806195749232653</v>
      </c>
      <c r="C1407" s="5" t="s">
        <v>17</v>
      </c>
      <c r="D1407" s="4" t="str">
        <f>"林敏敏"</f>
        <v>林敏敏</v>
      </c>
      <c r="E1407" s="4" t="str">
        <f t="shared" si="137"/>
        <v>女</v>
      </c>
    </row>
    <row r="1408" customHeight="1" spans="1:5">
      <c r="A1408" s="4">
        <v>1406</v>
      </c>
      <c r="B1408" s="4" t="str">
        <f>"431720220806201758232687"</f>
        <v>431720220806201758232687</v>
      </c>
      <c r="C1408" s="5" t="s">
        <v>17</v>
      </c>
      <c r="D1408" s="4" t="str">
        <f>"符裕珍"</f>
        <v>符裕珍</v>
      </c>
      <c r="E1408" s="4" t="str">
        <f t="shared" si="137"/>
        <v>女</v>
      </c>
    </row>
    <row r="1409" customHeight="1" spans="1:5">
      <c r="A1409" s="4">
        <v>1407</v>
      </c>
      <c r="B1409" s="4" t="str">
        <f>"431720220806215836232787"</f>
        <v>431720220806215836232787</v>
      </c>
      <c r="C1409" s="5" t="s">
        <v>17</v>
      </c>
      <c r="D1409" s="4" t="str">
        <f>"潘孝德"</f>
        <v>潘孝德</v>
      </c>
      <c r="E1409" s="4" t="str">
        <f>"男"</f>
        <v>男</v>
      </c>
    </row>
    <row r="1410" customHeight="1" spans="1:5">
      <c r="A1410" s="4">
        <v>1408</v>
      </c>
      <c r="B1410" s="4" t="str">
        <f>"431720220806232213232846"</f>
        <v>431720220806232213232846</v>
      </c>
      <c r="C1410" s="5" t="s">
        <v>17</v>
      </c>
      <c r="D1410" s="4" t="str">
        <f>"杨静"</f>
        <v>杨静</v>
      </c>
      <c r="E1410" s="4" t="str">
        <f t="shared" ref="E1410:E1421" si="138">"女"</f>
        <v>女</v>
      </c>
    </row>
    <row r="1411" customHeight="1" spans="1:5">
      <c r="A1411" s="4">
        <v>1409</v>
      </c>
      <c r="B1411" s="4" t="str">
        <f>"431720220807103140233035"</f>
        <v>431720220807103140233035</v>
      </c>
      <c r="C1411" s="5" t="s">
        <v>17</v>
      </c>
      <c r="D1411" s="4" t="str">
        <f>"石奇凡"</f>
        <v>石奇凡</v>
      </c>
      <c r="E1411" s="4" t="str">
        <f t="shared" si="138"/>
        <v>女</v>
      </c>
    </row>
    <row r="1412" customHeight="1" spans="1:5">
      <c r="A1412" s="4">
        <v>1410</v>
      </c>
      <c r="B1412" s="4" t="str">
        <f>"431720220807110325233074"</f>
        <v>431720220807110325233074</v>
      </c>
      <c r="C1412" s="5" t="s">
        <v>17</v>
      </c>
      <c r="D1412" s="4" t="str">
        <f>"毛丹妮"</f>
        <v>毛丹妮</v>
      </c>
      <c r="E1412" s="4" t="str">
        <f t="shared" si="138"/>
        <v>女</v>
      </c>
    </row>
    <row r="1413" customHeight="1" spans="1:5">
      <c r="A1413" s="4">
        <v>1411</v>
      </c>
      <c r="B1413" s="4" t="str">
        <f>"431720220807115132233116"</f>
        <v>431720220807115132233116</v>
      </c>
      <c r="C1413" s="5" t="s">
        <v>17</v>
      </c>
      <c r="D1413" s="4" t="str">
        <f>"蔡飘飘"</f>
        <v>蔡飘飘</v>
      </c>
      <c r="E1413" s="4" t="str">
        <f t="shared" si="138"/>
        <v>女</v>
      </c>
    </row>
    <row r="1414" customHeight="1" spans="1:5">
      <c r="A1414" s="4">
        <v>1412</v>
      </c>
      <c r="B1414" s="4" t="str">
        <f>"431720220807121403233143"</f>
        <v>431720220807121403233143</v>
      </c>
      <c r="C1414" s="5" t="s">
        <v>17</v>
      </c>
      <c r="D1414" s="4" t="str">
        <f>"林香"</f>
        <v>林香</v>
      </c>
      <c r="E1414" s="4" t="str">
        <f t="shared" si="138"/>
        <v>女</v>
      </c>
    </row>
    <row r="1415" customHeight="1" spans="1:5">
      <c r="A1415" s="4">
        <v>1413</v>
      </c>
      <c r="B1415" s="4" t="str">
        <f>"431720220807134331233214"</f>
        <v>431720220807134331233214</v>
      </c>
      <c r="C1415" s="5" t="s">
        <v>17</v>
      </c>
      <c r="D1415" s="4" t="str">
        <f>"林英"</f>
        <v>林英</v>
      </c>
      <c r="E1415" s="4" t="str">
        <f t="shared" si="138"/>
        <v>女</v>
      </c>
    </row>
    <row r="1416" customHeight="1" spans="1:5">
      <c r="A1416" s="4">
        <v>1414</v>
      </c>
      <c r="B1416" s="4" t="str">
        <f>"431720220807140029233232"</f>
        <v>431720220807140029233232</v>
      </c>
      <c r="C1416" s="5" t="s">
        <v>17</v>
      </c>
      <c r="D1416" s="4" t="str">
        <f>"郑家善"</f>
        <v>郑家善</v>
      </c>
      <c r="E1416" s="4" t="str">
        <f t="shared" si="138"/>
        <v>女</v>
      </c>
    </row>
    <row r="1417" customHeight="1" spans="1:5">
      <c r="A1417" s="4">
        <v>1415</v>
      </c>
      <c r="B1417" s="4" t="str">
        <f>"431720220807150254233286"</f>
        <v>431720220807150254233286</v>
      </c>
      <c r="C1417" s="5" t="s">
        <v>17</v>
      </c>
      <c r="D1417" s="4" t="str">
        <f>"唐慧"</f>
        <v>唐慧</v>
      </c>
      <c r="E1417" s="4" t="str">
        <f t="shared" si="138"/>
        <v>女</v>
      </c>
    </row>
    <row r="1418" customHeight="1" spans="1:5">
      <c r="A1418" s="4">
        <v>1416</v>
      </c>
      <c r="B1418" s="4" t="str">
        <f>"431720220807161019233373"</f>
        <v>431720220807161019233373</v>
      </c>
      <c r="C1418" s="5" t="s">
        <v>17</v>
      </c>
      <c r="D1418" s="4" t="str">
        <f>"王金丹"</f>
        <v>王金丹</v>
      </c>
      <c r="E1418" s="4" t="str">
        <f t="shared" si="138"/>
        <v>女</v>
      </c>
    </row>
    <row r="1419" customHeight="1" spans="1:5">
      <c r="A1419" s="4">
        <v>1417</v>
      </c>
      <c r="B1419" s="4" t="str">
        <f>"431720220807170638233438"</f>
        <v>431720220807170638233438</v>
      </c>
      <c r="C1419" s="5" t="s">
        <v>17</v>
      </c>
      <c r="D1419" s="4" t="str">
        <f>"李彩花"</f>
        <v>李彩花</v>
      </c>
      <c r="E1419" s="4" t="str">
        <f t="shared" si="138"/>
        <v>女</v>
      </c>
    </row>
    <row r="1420" customHeight="1" spans="1:5">
      <c r="A1420" s="4">
        <v>1418</v>
      </c>
      <c r="B1420" s="4" t="str">
        <f>"431720220807182838233499"</f>
        <v>431720220807182838233499</v>
      </c>
      <c r="C1420" s="5" t="s">
        <v>17</v>
      </c>
      <c r="D1420" s="4" t="str">
        <f>"符佳"</f>
        <v>符佳</v>
      </c>
      <c r="E1420" s="4" t="str">
        <f t="shared" si="138"/>
        <v>女</v>
      </c>
    </row>
    <row r="1421" customHeight="1" spans="1:5">
      <c r="A1421" s="4">
        <v>1419</v>
      </c>
      <c r="B1421" s="4" t="str">
        <f>"431720220807195903233538"</f>
        <v>431720220807195903233538</v>
      </c>
      <c r="C1421" s="5" t="s">
        <v>17</v>
      </c>
      <c r="D1421" s="4" t="str">
        <f>"曾玲"</f>
        <v>曾玲</v>
      </c>
      <c r="E1421" s="4" t="str">
        <f t="shared" si="138"/>
        <v>女</v>
      </c>
    </row>
    <row r="1422" customHeight="1" spans="1:5">
      <c r="A1422" s="4">
        <v>1420</v>
      </c>
      <c r="B1422" s="4" t="str">
        <f>"431720220807200319233540"</f>
        <v>431720220807200319233540</v>
      </c>
      <c r="C1422" s="5" t="s">
        <v>17</v>
      </c>
      <c r="D1422" s="4" t="str">
        <f>"符庸富"</f>
        <v>符庸富</v>
      </c>
      <c r="E1422" s="4" t="str">
        <f>"男"</f>
        <v>男</v>
      </c>
    </row>
    <row r="1423" customHeight="1" spans="1:5">
      <c r="A1423" s="4">
        <v>1421</v>
      </c>
      <c r="B1423" s="4" t="str">
        <f>"431720220807200422233541"</f>
        <v>431720220807200422233541</v>
      </c>
      <c r="C1423" s="5" t="s">
        <v>17</v>
      </c>
      <c r="D1423" s="4" t="str">
        <f>"高忠霞"</f>
        <v>高忠霞</v>
      </c>
      <c r="E1423" s="4" t="str">
        <f t="shared" ref="E1423:E1429" si="139">"女"</f>
        <v>女</v>
      </c>
    </row>
    <row r="1424" customHeight="1" spans="1:5">
      <c r="A1424" s="4">
        <v>1422</v>
      </c>
      <c r="B1424" s="4" t="str">
        <f>"431720220807203206233563"</f>
        <v>431720220807203206233563</v>
      </c>
      <c r="C1424" s="5" t="s">
        <v>17</v>
      </c>
      <c r="D1424" s="4" t="str">
        <f>"杨玉秀"</f>
        <v>杨玉秀</v>
      </c>
      <c r="E1424" s="4" t="str">
        <f t="shared" si="139"/>
        <v>女</v>
      </c>
    </row>
    <row r="1425" customHeight="1" spans="1:5">
      <c r="A1425" s="4">
        <v>1423</v>
      </c>
      <c r="B1425" s="4" t="str">
        <f>"431720220807203820233566"</f>
        <v>431720220807203820233566</v>
      </c>
      <c r="C1425" s="5" t="s">
        <v>17</v>
      </c>
      <c r="D1425" s="4" t="str">
        <f>"符小嶺"</f>
        <v>符小嶺</v>
      </c>
      <c r="E1425" s="4" t="str">
        <f>"男"</f>
        <v>男</v>
      </c>
    </row>
    <row r="1426" customHeight="1" spans="1:5">
      <c r="A1426" s="4">
        <v>1424</v>
      </c>
      <c r="B1426" s="4" t="str">
        <f>"431720220808092846234210"</f>
        <v>431720220808092846234210</v>
      </c>
      <c r="C1426" s="5" t="s">
        <v>17</v>
      </c>
      <c r="D1426" s="4" t="str">
        <f>"庄美灯"</f>
        <v>庄美灯</v>
      </c>
      <c r="E1426" s="4" t="str">
        <f t="shared" si="139"/>
        <v>女</v>
      </c>
    </row>
    <row r="1427" customHeight="1" spans="1:5">
      <c r="A1427" s="4">
        <v>1425</v>
      </c>
      <c r="B1427" s="4" t="str">
        <f>"431720220808100020234446"</f>
        <v>431720220808100020234446</v>
      </c>
      <c r="C1427" s="5" t="s">
        <v>17</v>
      </c>
      <c r="D1427" s="4" t="str">
        <f>"叶妍妍"</f>
        <v>叶妍妍</v>
      </c>
      <c r="E1427" s="4" t="str">
        <f t="shared" si="139"/>
        <v>女</v>
      </c>
    </row>
    <row r="1428" customHeight="1" spans="1:5">
      <c r="A1428" s="4">
        <v>1426</v>
      </c>
      <c r="B1428" s="4" t="str">
        <f>"431720220808104030234693"</f>
        <v>431720220808104030234693</v>
      </c>
      <c r="C1428" s="5" t="s">
        <v>17</v>
      </c>
      <c r="D1428" s="4" t="str">
        <f>"林怡君"</f>
        <v>林怡君</v>
      </c>
      <c r="E1428" s="4" t="str">
        <f t="shared" si="139"/>
        <v>女</v>
      </c>
    </row>
    <row r="1429" customHeight="1" spans="1:5">
      <c r="A1429" s="4">
        <v>1427</v>
      </c>
      <c r="B1429" s="4" t="str">
        <f>"431720220808142211235476"</f>
        <v>431720220808142211235476</v>
      </c>
      <c r="C1429" s="5" t="s">
        <v>17</v>
      </c>
      <c r="D1429" s="4" t="str">
        <f>"符家婷"</f>
        <v>符家婷</v>
      </c>
      <c r="E1429" s="4" t="str">
        <f t="shared" si="139"/>
        <v>女</v>
      </c>
    </row>
    <row r="1430" customHeight="1" spans="1:5">
      <c r="A1430" s="4">
        <v>1428</v>
      </c>
      <c r="B1430" s="4" t="str">
        <f>"431720220808152540235682"</f>
        <v>431720220808152540235682</v>
      </c>
      <c r="C1430" s="5" t="s">
        <v>17</v>
      </c>
      <c r="D1430" s="4" t="str">
        <f>"陈朝龙"</f>
        <v>陈朝龙</v>
      </c>
      <c r="E1430" s="4" t="str">
        <f>"男"</f>
        <v>男</v>
      </c>
    </row>
    <row r="1431" customHeight="1" spans="1:5">
      <c r="A1431" s="4">
        <v>1429</v>
      </c>
      <c r="B1431" s="4" t="str">
        <f>"431720220808154447235752"</f>
        <v>431720220808154447235752</v>
      </c>
      <c r="C1431" s="5" t="s">
        <v>17</v>
      </c>
      <c r="D1431" s="4" t="str">
        <f>"曾小慧"</f>
        <v>曾小慧</v>
      </c>
      <c r="E1431" s="4" t="str">
        <f t="shared" ref="E1431:E1437" si="140">"女"</f>
        <v>女</v>
      </c>
    </row>
    <row r="1432" customHeight="1" spans="1:5">
      <c r="A1432" s="4">
        <v>1430</v>
      </c>
      <c r="B1432" s="4" t="str">
        <f>"431720220808170255236009"</f>
        <v>431720220808170255236009</v>
      </c>
      <c r="C1432" s="5" t="s">
        <v>17</v>
      </c>
      <c r="D1432" s="4" t="str">
        <f>"林小夏"</f>
        <v>林小夏</v>
      </c>
      <c r="E1432" s="4" t="str">
        <f t="shared" si="140"/>
        <v>女</v>
      </c>
    </row>
    <row r="1433" customHeight="1" spans="1:5">
      <c r="A1433" s="4">
        <v>1431</v>
      </c>
      <c r="B1433" s="4" t="str">
        <f>"431720220808172803236095"</f>
        <v>431720220808172803236095</v>
      </c>
      <c r="C1433" s="5" t="s">
        <v>17</v>
      </c>
      <c r="D1433" s="4" t="str">
        <f>"吴小芬"</f>
        <v>吴小芬</v>
      </c>
      <c r="E1433" s="4" t="str">
        <f t="shared" si="140"/>
        <v>女</v>
      </c>
    </row>
    <row r="1434" customHeight="1" spans="1:5">
      <c r="A1434" s="4">
        <v>1432</v>
      </c>
      <c r="B1434" s="4" t="str">
        <f>"431720220808182324236230"</f>
        <v>431720220808182324236230</v>
      </c>
      <c r="C1434" s="5" t="s">
        <v>17</v>
      </c>
      <c r="D1434" s="4" t="str">
        <f>"王悦妃"</f>
        <v>王悦妃</v>
      </c>
      <c r="E1434" s="4" t="str">
        <f t="shared" si="140"/>
        <v>女</v>
      </c>
    </row>
    <row r="1435" customHeight="1" spans="1:5">
      <c r="A1435" s="4">
        <v>1433</v>
      </c>
      <c r="B1435" s="4" t="str">
        <f>"431720220808194823236435"</f>
        <v>431720220808194823236435</v>
      </c>
      <c r="C1435" s="5" t="s">
        <v>17</v>
      </c>
      <c r="D1435" s="4" t="str">
        <f>"文陈华"</f>
        <v>文陈华</v>
      </c>
      <c r="E1435" s="4" t="str">
        <f t="shared" si="140"/>
        <v>女</v>
      </c>
    </row>
    <row r="1436" customHeight="1" spans="1:5">
      <c r="A1436" s="4">
        <v>1434</v>
      </c>
      <c r="B1436" s="4" t="str">
        <f>"431720220808214802236752"</f>
        <v>431720220808214802236752</v>
      </c>
      <c r="C1436" s="5" t="s">
        <v>17</v>
      </c>
      <c r="D1436" s="4" t="str">
        <f>"黎学莉"</f>
        <v>黎学莉</v>
      </c>
      <c r="E1436" s="4" t="str">
        <f t="shared" si="140"/>
        <v>女</v>
      </c>
    </row>
    <row r="1437" customHeight="1" spans="1:5">
      <c r="A1437" s="4">
        <v>1435</v>
      </c>
      <c r="B1437" s="4" t="str">
        <f>"431720220808222334236836"</f>
        <v>431720220808222334236836</v>
      </c>
      <c r="C1437" s="5" t="s">
        <v>17</v>
      </c>
      <c r="D1437" s="4" t="str">
        <f>"邢惠清"</f>
        <v>邢惠清</v>
      </c>
      <c r="E1437" s="4" t="str">
        <f t="shared" si="140"/>
        <v>女</v>
      </c>
    </row>
    <row r="1438" customHeight="1" spans="1:5">
      <c r="A1438" s="4">
        <v>1436</v>
      </c>
      <c r="B1438" s="4" t="str">
        <f>"431720220808235730236938"</f>
        <v>431720220808235730236938</v>
      </c>
      <c r="C1438" s="5" t="s">
        <v>17</v>
      </c>
      <c r="D1438" s="4" t="str">
        <f>"吴贻照"</f>
        <v>吴贻照</v>
      </c>
      <c r="E1438" s="4" t="str">
        <f>"男"</f>
        <v>男</v>
      </c>
    </row>
    <row r="1439" customHeight="1" spans="1:5">
      <c r="A1439" s="4">
        <v>1437</v>
      </c>
      <c r="B1439" s="4" t="str">
        <f>"431720220809105325237544"</f>
        <v>431720220809105325237544</v>
      </c>
      <c r="C1439" s="5" t="s">
        <v>17</v>
      </c>
      <c r="D1439" s="4" t="str">
        <f>"方香萍"</f>
        <v>方香萍</v>
      </c>
      <c r="E1439" s="4" t="str">
        <f t="shared" ref="E1439:E1449" si="141">"女"</f>
        <v>女</v>
      </c>
    </row>
    <row r="1440" customHeight="1" spans="1:5">
      <c r="A1440" s="4">
        <v>1438</v>
      </c>
      <c r="B1440" s="4" t="str">
        <f>"431720220809105639237557"</f>
        <v>431720220809105639237557</v>
      </c>
      <c r="C1440" s="5" t="s">
        <v>17</v>
      </c>
      <c r="D1440" s="4" t="str">
        <f>"何武"</f>
        <v>何武</v>
      </c>
      <c r="E1440" s="4" t="str">
        <f>"男"</f>
        <v>男</v>
      </c>
    </row>
    <row r="1441" customHeight="1" spans="1:5">
      <c r="A1441" s="4">
        <v>1439</v>
      </c>
      <c r="B1441" s="4" t="str">
        <f>"431720220809115431237708"</f>
        <v>431720220809115431237708</v>
      </c>
      <c r="C1441" s="5" t="s">
        <v>17</v>
      </c>
      <c r="D1441" s="4" t="str">
        <f>"陈瑶瑶"</f>
        <v>陈瑶瑶</v>
      </c>
      <c r="E1441" s="4" t="str">
        <f t="shared" si="141"/>
        <v>女</v>
      </c>
    </row>
    <row r="1442" customHeight="1" spans="1:5">
      <c r="A1442" s="4">
        <v>1440</v>
      </c>
      <c r="B1442" s="4" t="str">
        <f>"431720220809115441237709"</f>
        <v>431720220809115441237709</v>
      </c>
      <c r="C1442" s="5" t="s">
        <v>17</v>
      </c>
      <c r="D1442" s="4" t="str">
        <f>"王巧婷"</f>
        <v>王巧婷</v>
      </c>
      <c r="E1442" s="4" t="str">
        <f t="shared" si="141"/>
        <v>女</v>
      </c>
    </row>
    <row r="1443" customHeight="1" spans="1:5">
      <c r="A1443" s="4">
        <v>1441</v>
      </c>
      <c r="B1443" s="4" t="str">
        <f>"431720220809130251237887"</f>
        <v>431720220809130251237887</v>
      </c>
      <c r="C1443" s="5" t="s">
        <v>17</v>
      </c>
      <c r="D1443" s="4" t="str">
        <f>"吴小曼"</f>
        <v>吴小曼</v>
      </c>
      <c r="E1443" s="4" t="str">
        <f t="shared" si="141"/>
        <v>女</v>
      </c>
    </row>
    <row r="1444" customHeight="1" spans="1:5">
      <c r="A1444" s="4">
        <v>1442</v>
      </c>
      <c r="B1444" s="4" t="str">
        <f>"431720220809132518237938"</f>
        <v>431720220809132518237938</v>
      </c>
      <c r="C1444" s="5" t="s">
        <v>17</v>
      </c>
      <c r="D1444" s="4" t="str">
        <f>"叶芷芹"</f>
        <v>叶芷芹</v>
      </c>
      <c r="E1444" s="4" t="str">
        <f t="shared" si="141"/>
        <v>女</v>
      </c>
    </row>
    <row r="1445" customHeight="1" spans="1:5">
      <c r="A1445" s="4">
        <v>1443</v>
      </c>
      <c r="B1445" s="4" t="str">
        <f>"431720220809143916238056"</f>
        <v>431720220809143916238056</v>
      </c>
      <c r="C1445" s="5" t="s">
        <v>17</v>
      </c>
      <c r="D1445" s="4" t="str">
        <f>"王娜"</f>
        <v>王娜</v>
      </c>
      <c r="E1445" s="4" t="str">
        <f t="shared" si="141"/>
        <v>女</v>
      </c>
    </row>
    <row r="1446" customHeight="1" spans="1:5">
      <c r="A1446" s="4">
        <v>1444</v>
      </c>
      <c r="B1446" s="4" t="str">
        <f>"431720220809164704238385"</f>
        <v>431720220809164704238385</v>
      </c>
      <c r="C1446" s="5" t="s">
        <v>17</v>
      </c>
      <c r="D1446" s="4" t="str">
        <f>"李玉妹"</f>
        <v>李玉妹</v>
      </c>
      <c r="E1446" s="4" t="str">
        <f t="shared" si="141"/>
        <v>女</v>
      </c>
    </row>
    <row r="1447" customHeight="1" spans="1:5">
      <c r="A1447" s="4">
        <v>1445</v>
      </c>
      <c r="B1447" s="4" t="str">
        <f>"431720220809175938238519"</f>
        <v>431720220809175938238519</v>
      </c>
      <c r="C1447" s="5" t="s">
        <v>17</v>
      </c>
      <c r="D1447" s="4" t="str">
        <f>"郑巧巧"</f>
        <v>郑巧巧</v>
      </c>
      <c r="E1447" s="4" t="str">
        <f t="shared" si="141"/>
        <v>女</v>
      </c>
    </row>
    <row r="1448" customHeight="1" spans="1:5">
      <c r="A1448" s="4">
        <v>1446</v>
      </c>
      <c r="B1448" s="4" t="str">
        <f>"431720220809224207239076"</f>
        <v>431720220809224207239076</v>
      </c>
      <c r="C1448" s="5" t="s">
        <v>17</v>
      </c>
      <c r="D1448" s="4" t="str">
        <f>"陈燕莞"</f>
        <v>陈燕莞</v>
      </c>
      <c r="E1448" s="4" t="str">
        <f t="shared" si="141"/>
        <v>女</v>
      </c>
    </row>
    <row r="1449" customHeight="1" spans="1:5">
      <c r="A1449" s="4">
        <v>1447</v>
      </c>
      <c r="B1449" s="4" t="str">
        <f>"431720220810100827239660"</f>
        <v>431720220810100827239660</v>
      </c>
      <c r="C1449" s="5" t="s">
        <v>17</v>
      </c>
      <c r="D1449" s="4" t="str">
        <f>"袁萍"</f>
        <v>袁萍</v>
      </c>
      <c r="E1449" s="4" t="str">
        <f t="shared" si="141"/>
        <v>女</v>
      </c>
    </row>
    <row r="1450" customHeight="1" spans="1:5">
      <c r="A1450" s="4">
        <v>1448</v>
      </c>
      <c r="B1450" s="4" t="str">
        <f>"431720220810123316240095"</f>
        <v>431720220810123316240095</v>
      </c>
      <c r="C1450" s="5" t="s">
        <v>17</v>
      </c>
      <c r="D1450" s="4" t="str">
        <f>"王乃威"</f>
        <v>王乃威</v>
      </c>
      <c r="E1450" s="4" t="str">
        <f>"男"</f>
        <v>男</v>
      </c>
    </row>
    <row r="1451" customHeight="1" spans="1:5">
      <c r="A1451" s="4">
        <v>1449</v>
      </c>
      <c r="B1451" s="4" t="str">
        <f>"431720220810125849240176"</f>
        <v>431720220810125849240176</v>
      </c>
      <c r="C1451" s="5" t="s">
        <v>17</v>
      </c>
      <c r="D1451" s="4" t="str">
        <f>"陈江玲"</f>
        <v>陈江玲</v>
      </c>
      <c r="E1451" s="4" t="str">
        <f t="shared" ref="E1451:E1469" si="142">"女"</f>
        <v>女</v>
      </c>
    </row>
    <row r="1452" customHeight="1" spans="1:5">
      <c r="A1452" s="4">
        <v>1450</v>
      </c>
      <c r="B1452" s="4" t="str">
        <f>"431720220810134114240286"</f>
        <v>431720220810134114240286</v>
      </c>
      <c r="C1452" s="5" t="s">
        <v>17</v>
      </c>
      <c r="D1452" s="4" t="str">
        <f>"刘伯映"</f>
        <v>刘伯映</v>
      </c>
      <c r="E1452" s="4" t="str">
        <f t="shared" si="142"/>
        <v>女</v>
      </c>
    </row>
    <row r="1453" customHeight="1" spans="1:5">
      <c r="A1453" s="4">
        <v>1451</v>
      </c>
      <c r="B1453" s="4" t="str">
        <f>"431720220810140958240326"</f>
        <v>431720220810140958240326</v>
      </c>
      <c r="C1453" s="5" t="s">
        <v>17</v>
      </c>
      <c r="D1453" s="4" t="str">
        <f>"王春香"</f>
        <v>王春香</v>
      </c>
      <c r="E1453" s="4" t="str">
        <f t="shared" si="142"/>
        <v>女</v>
      </c>
    </row>
    <row r="1454" customHeight="1" spans="1:5">
      <c r="A1454" s="4">
        <v>1452</v>
      </c>
      <c r="B1454" s="4" t="str">
        <f>"431720220810144120240390"</f>
        <v>431720220810144120240390</v>
      </c>
      <c r="C1454" s="5" t="s">
        <v>17</v>
      </c>
      <c r="D1454" s="4" t="str">
        <f>"董英怀"</f>
        <v>董英怀</v>
      </c>
      <c r="E1454" s="4" t="str">
        <f t="shared" si="142"/>
        <v>女</v>
      </c>
    </row>
    <row r="1455" customHeight="1" spans="1:5">
      <c r="A1455" s="4">
        <v>1453</v>
      </c>
      <c r="B1455" s="4" t="str">
        <f>"431720220810152132240525"</f>
        <v>431720220810152132240525</v>
      </c>
      <c r="C1455" s="5" t="s">
        <v>17</v>
      </c>
      <c r="D1455" s="4" t="str">
        <f>"符善庆"</f>
        <v>符善庆</v>
      </c>
      <c r="E1455" s="4" t="str">
        <f t="shared" si="142"/>
        <v>女</v>
      </c>
    </row>
    <row r="1456" customHeight="1" spans="1:5">
      <c r="A1456" s="4">
        <v>1454</v>
      </c>
      <c r="B1456" s="4" t="str">
        <f>"431720220810163926240806"</f>
        <v>431720220810163926240806</v>
      </c>
      <c r="C1456" s="5" t="s">
        <v>17</v>
      </c>
      <c r="D1456" s="4" t="str">
        <f>"谢青彤"</f>
        <v>谢青彤</v>
      </c>
      <c r="E1456" s="4" t="str">
        <f t="shared" si="142"/>
        <v>女</v>
      </c>
    </row>
    <row r="1457" customHeight="1" spans="1:5">
      <c r="A1457" s="4">
        <v>1455</v>
      </c>
      <c r="B1457" s="4" t="str">
        <f>"431720220810173945240952"</f>
        <v>431720220810173945240952</v>
      </c>
      <c r="C1457" s="5" t="s">
        <v>17</v>
      </c>
      <c r="D1457" s="4" t="str">
        <f>"黄慧环"</f>
        <v>黄慧环</v>
      </c>
      <c r="E1457" s="4" t="str">
        <f t="shared" si="142"/>
        <v>女</v>
      </c>
    </row>
    <row r="1458" customHeight="1" spans="1:5">
      <c r="A1458" s="4">
        <v>1456</v>
      </c>
      <c r="B1458" s="4" t="str">
        <f>"431720220810192314241176"</f>
        <v>431720220810192314241176</v>
      </c>
      <c r="C1458" s="5" t="s">
        <v>17</v>
      </c>
      <c r="D1458" s="4" t="str">
        <f>"符永丹"</f>
        <v>符永丹</v>
      </c>
      <c r="E1458" s="4" t="str">
        <f t="shared" si="142"/>
        <v>女</v>
      </c>
    </row>
    <row r="1459" customHeight="1" spans="1:5">
      <c r="A1459" s="4">
        <v>1457</v>
      </c>
      <c r="B1459" s="4" t="str">
        <f>"431720220810204007241349"</f>
        <v>431720220810204007241349</v>
      </c>
      <c r="C1459" s="5" t="s">
        <v>17</v>
      </c>
      <c r="D1459" s="4" t="str">
        <f>"肖丽"</f>
        <v>肖丽</v>
      </c>
      <c r="E1459" s="4" t="str">
        <f t="shared" si="142"/>
        <v>女</v>
      </c>
    </row>
    <row r="1460" customHeight="1" spans="1:5">
      <c r="A1460" s="4">
        <v>1458</v>
      </c>
      <c r="B1460" s="4" t="str">
        <f>"431720220810214812241535"</f>
        <v>431720220810214812241535</v>
      </c>
      <c r="C1460" s="5" t="s">
        <v>17</v>
      </c>
      <c r="D1460" s="4" t="str">
        <f>"张昕"</f>
        <v>张昕</v>
      </c>
      <c r="E1460" s="4" t="str">
        <f t="shared" si="142"/>
        <v>女</v>
      </c>
    </row>
    <row r="1461" customHeight="1" spans="1:5">
      <c r="A1461" s="4">
        <v>1459</v>
      </c>
      <c r="B1461" s="4" t="str">
        <f>"431720220811014938241801"</f>
        <v>431720220811014938241801</v>
      </c>
      <c r="C1461" s="5" t="s">
        <v>17</v>
      </c>
      <c r="D1461" s="4" t="str">
        <f>"黄阳玲"</f>
        <v>黄阳玲</v>
      </c>
      <c r="E1461" s="4" t="str">
        <f t="shared" si="142"/>
        <v>女</v>
      </c>
    </row>
    <row r="1462" customHeight="1" spans="1:5">
      <c r="A1462" s="4">
        <v>1460</v>
      </c>
      <c r="B1462" s="4" t="str">
        <f>"431720220811085120241976"</f>
        <v>431720220811085120241976</v>
      </c>
      <c r="C1462" s="5" t="s">
        <v>17</v>
      </c>
      <c r="D1462" s="4" t="str">
        <f>"刘晓霜"</f>
        <v>刘晓霜</v>
      </c>
      <c r="E1462" s="4" t="str">
        <f t="shared" si="142"/>
        <v>女</v>
      </c>
    </row>
    <row r="1463" customHeight="1" spans="1:5">
      <c r="A1463" s="4">
        <v>1461</v>
      </c>
      <c r="B1463" s="4" t="str">
        <f>"431720220811085546241989"</f>
        <v>431720220811085546241989</v>
      </c>
      <c r="C1463" s="5" t="s">
        <v>17</v>
      </c>
      <c r="D1463" s="4" t="str">
        <f>"唐燕萍"</f>
        <v>唐燕萍</v>
      </c>
      <c r="E1463" s="4" t="str">
        <f t="shared" si="142"/>
        <v>女</v>
      </c>
    </row>
    <row r="1464" customHeight="1" spans="1:5">
      <c r="A1464" s="4">
        <v>1462</v>
      </c>
      <c r="B1464" s="4" t="str">
        <f>"431720220811100551242232"</f>
        <v>431720220811100551242232</v>
      </c>
      <c r="C1464" s="5" t="s">
        <v>17</v>
      </c>
      <c r="D1464" s="4" t="str">
        <f>"韩玉娟"</f>
        <v>韩玉娟</v>
      </c>
      <c r="E1464" s="4" t="str">
        <f t="shared" si="142"/>
        <v>女</v>
      </c>
    </row>
    <row r="1465" customHeight="1" spans="1:5">
      <c r="A1465" s="4">
        <v>1463</v>
      </c>
      <c r="B1465" s="4" t="str">
        <f>"431720220811105730242407"</f>
        <v>431720220811105730242407</v>
      </c>
      <c r="C1465" s="5" t="s">
        <v>17</v>
      </c>
      <c r="D1465" s="4" t="str">
        <f>"陈春婉"</f>
        <v>陈春婉</v>
      </c>
      <c r="E1465" s="4" t="str">
        <f t="shared" si="142"/>
        <v>女</v>
      </c>
    </row>
    <row r="1466" customHeight="1" spans="1:5">
      <c r="A1466" s="4">
        <v>1464</v>
      </c>
      <c r="B1466" s="4" t="str">
        <f>"431720220811153354243200"</f>
        <v>431720220811153354243200</v>
      </c>
      <c r="C1466" s="5" t="s">
        <v>17</v>
      </c>
      <c r="D1466" s="4" t="str">
        <f>"贾茹"</f>
        <v>贾茹</v>
      </c>
      <c r="E1466" s="4" t="str">
        <f t="shared" si="142"/>
        <v>女</v>
      </c>
    </row>
    <row r="1467" customHeight="1" spans="1:5">
      <c r="A1467" s="4">
        <v>1465</v>
      </c>
      <c r="B1467" s="4" t="str">
        <f>"431720220811163201243367"</f>
        <v>431720220811163201243367</v>
      </c>
      <c r="C1467" s="5" t="s">
        <v>17</v>
      </c>
      <c r="D1467" s="4" t="str">
        <f>"杨夏蕊"</f>
        <v>杨夏蕊</v>
      </c>
      <c r="E1467" s="4" t="str">
        <f t="shared" si="142"/>
        <v>女</v>
      </c>
    </row>
    <row r="1468" customHeight="1" spans="1:5">
      <c r="A1468" s="4">
        <v>1466</v>
      </c>
      <c r="B1468" s="4" t="str">
        <f>"431720220811165049243425"</f>
        <v>431720220811165049243425</v>
      </c>
      <c r="C1468" s="5" t="s">
        <v>17</v>
      </c>
      <c r="D1468" s="4" t="str">
        <f>"周美君"</f>
        <v>周美君</v>
      </c>
      <c r="E1468" s="4" t="str">
        <f t="shared" si="142"/>
        <v>女</v>
      </c>
    </row>
    <row r="1469" customHeight="1" spans="1:5">
      <c r="A1469" s="4">
        <v>1467</v>
      </c>
      <c r="B1469" s="4" t="str">
        <f>"431720220811204719243620"</f>
        <v>431720220811204719243620</v>
      </c>
      <c r="C1469" s="5" t="s">
        <v>17</v>
      </c>
      <c r="D1469" s="4" t="str">
        <f>"吴倩雯"</f>
        <v>吴倩雯</v>
      </c>
      <c r="E1469" s="4" t="str">
        <f t="shared" si="142"/>
        <v>女</v>
      </c>
    </row>
    <row r="1470" customHeight="1" spans="1:5">
      <c r="A1470" s="4">
        <v>1468</v>
      </c>
      <c r="B1470" s="4" t="str">
        <f>"431720220812001836243743"</f>
        <v>431720220812001836243743</v>
      </c>
      <c r="C1470" s="5" t="s">
        <v>17</v>
      </c>
      <c r="D1470" s="4" t="str">
        <f>"王平"</f>
        <v>王平</v>
      </c>
      <c r="E1470" s="4" t="str">
        <f>"男"</f>
        <v>男</v>
      </c>
    </row>
    <row r="1471" customHeight="1" spans="1:5">
      <c r="A1471" s="4">
        <v>1469</v>
      </c>
      <c r="B1471" s="4" t="str">
        <f>"431720220812110458244064"</f>
        <v>431720220812110458244064</v>
      </c>
      <c r="C1471" s="5" t="s">
        <v>17</v>
      </c>
      <c r="D1471" s="4" t="str">
        <f>"黄芬"</f>
        <v>黄芬</v>
      </c>
      <c r="E1471" s="4" t="str">
        <f t="shared" ref="E1471:E1474" si="143">"女"</f>
        <v>女</v>
      </c>
    </row>
    <row r="1472" customHeight="1" spans="1:5">
      <c r="A1472" s="4">
        <v>1470</v>
      </c>
      <c r="B1472" s="4" t="str">
        <f>"431720220812130005244220"</f>
        <v>431720220812130005244220</v>
      </c>
      <c r="C1472" s="5" t="s">
        <v>17</v>
      </c>
      <c r="D1472" s="4" t="str">
        <f>"王梦莹"</f>
        <v>王梦莹</v>
      </c>
      <c r="E1472" s="4" t="str">
        <f t="shared" si="143"/>
        <v>女</v>
      </c>
    </row>
    <row r="1473" customHeight="1" spans="1:5">
      <c r="A1473" s="4">
        <v>1471</v>
      </c>
      <c r="B1473" s="4" t="str">
        <f>"431720220812132110244242"</f>
        <v>431720220812132110244242</v>
      </c>
      <c r="C1473" s="5" t="s">
        <v>17</v>
      </c>
      <c r="D1473" s="4" t="str">
        <f>"吴丹琴"</f>
        <v>吴丹琴</v>
      </c>
      <c r="E1473" s="4" t="str">
        <f t="shared" si="143"/>
        <v>女</v>
      </c>
    </row>
    <row r="1474" customHeight="1" spans="1:5">
      <c r="A1474" s="4">
        <v>1472</v>
      </c>
      <c r="B1474" s="4" t="str">
        <f>"431720220812142358244297"</f>
        <v>431720220812142358244297</v>
      </c>
      <c r="C1474" s="5" t="s">
        <v>17</v>
      </c>
      <c r="D1474" s="4" t="str">
        <f>"郑秋丽"</f>
        <v>郑秋丽</v>
      </c>
      <c r="E1474" s="4" t="str">
        <f t="shared" si="143"/>
        <v>女</v>
      </c>
    </row>
    <row r="1475" customHeight="1" spans="1:5">
      <c r="A1475" s="4">
        <v>1473</v>
      </c>
      <c r="B1475" s="4" t="str">
        <f>"431720220812143951244315"</f>
        <v>431720220812143951244315</v>
      </c>
      <c r="C1475" s="5" t="s">
        <v>17</v>
      </c>
      <c r="D1475" s="4" t="str">
        <f>"李智明"</f>
        <v>李智明</v>
      </c>
      <c r="E1475" s="4" t="str">
        <f>"男"</f>
        <v>男</v>
      </c>
    </row>
    <row r="1476" customHeight="1" spans="1:5">
      <c r="A1476" s="4">
        <v>1474</v>
      </c>
      <c r="B1476" s="4" t="str">
        <f>"431720220812145917244336"</f>
        <v>431720220812145917244336</v>
      </c>
      <c r="C1476" s="5" t="s">
        <v>17</v>
      </c>
      <c r="D1476" s="4" t="str">
        <f>"刘莹"</f>
        <v>刘莹</v>
      </c>
      <c r="E1476" s="4" t="str">
        <f t="shared" ref="E1476:E1486" si="144">"女"</f>
        <v>女</v>
      </c>
    </row>
    <row r="1477" customHeight="1" spans="1:5">
      <c r="A1477" s="4">
        <v>1475</v>
      </c>
      <c r="B1477" s="4" t="str">
        <f>"431720220812154821244413"</f>
        <v>431720220812154821244413</v>
      </c>
      <c r="C1477" s="5" t="s">
        <v>17</v>
      </c>
      <c r="D1477" s="4" t="str">
        <f>"王明磊"</f>
        <v>王明磊</v>
      </c>
      <c r="E1477" s="4" t="str">
        <f>"男"</f>
        <v>男</v>
      </c>
    </row>
    <row r="1478" customHeight="1" spans="1:5">
      <c r="A1478" s="4">
        <v>1476</v>
      </c>
      <c r="B1478" s="4" t="str">
        <f>"431720220812160130244431"</f>
        <v>431720220812160130244431</v>
      </c>
      <c r="C1478" s="5" t="s">
        <v>17</v>
      </c>
      <c r="D1478" s="4" t="str">
        <f>"曾曼群"</f>
        <v>曾曼群</v>
      </c>
      <c r="E1478" s="4" t="str">
        <f t="shared" si="144"/>
        <v>女</v>
      </c>
    </row>
    <row r="1479" customHeight="1" spans="1:5">
      <c r="A1479" s="4">
        <v>1477</v>
      </c>
      <c r="B1479" s="4" t="str">
        <f>"431720220806091150231215"</f>
        <v>431720220806091150231215</v>
      </c>
      <c r="C1479" s="5" t="s">
        <v>18</v>
      </c>
      <c r="D1479" s="4" t="str">
        <f>"包莹莹"</f>
        <v>包莹莹</v>
      </c>
      <c r="E1479" s="4" t="str">
        <f t="shared" si="144"/>
        <v>女</v>
      </c>
    </row>
    <row r="1480" customHeight="1" spans="1:5">
      <c r="A1480" s="4">
        <v>1478</v>
      </c>
      <c r="B1480" s="4" t="str">
        <f>"431720220806091236231217"</f>
        <v>431720220806091236231217</v>
      </c>
      <c r="C1480" s="5" t="s">
        <v>18</v>
      </c>
      <c r="D1480" s="4" t="str">
        <f>"符荣芝"</f>
        <v>符荣芝</v>
      </c>
      <c r="E1480" s="4" t="str">
        <f t="shared" si="144"/>
        <v>女</v>
      </c>
    </row>
    <row r="1481" customHeight="1" spans="1:5">
      <c r="A1481" s="4">
        <v>1479</v>
      </c>
      <c r="B1481" s="4" t="str">
        <f>"431720220806091628231232"</f>
        <v>431720220806091628231232</v>
      </c>
      <c r="C1481" s="5" t="s">
        <v>18</v>
      </c>
      <c r="D1481" s="4" t="str">
        <f>"麦娱"</f>
        <v>麦娱</v>
      </c>
      <c r="E1481" s="4" t="str">
        <f t="shared" si="144"/>
        <v>女</v>
      </c>
    </row>
    <row r="1482" customHeight="1" spans="1:5">
      <c r="A1482" s="4">
        <v>1480</v>
      </c>
      <c r="B1482" s="4" t="str">
        <f>"431720220806091642231234"</f>
        <v>431720220806091642231234</v>
      </c>
      <c r="C1482" s="5" t="s">
        <v>18</v>
      </c>
      <c r="D1482" s="4" t="str">
        <f>"郭雅丽"</f>
        <v>郭雅丽</v>
      </c>
      <c r="E1482" s="4" t="str">
        <f t="shared" si="144"/>
        <v>女</v>
      </c>
    </row>
    <row r="1483" customHeight="1" spans="1:5">
      <c r="A1483" s="4">
        <v>1481</v>
      </c>
      <c r="B1483" s="4" t="str">
        <f>"431720220806092109231247"</f>
        <v>431720220806092109231247</v>
      </c>
      <c r="C1483" s="5" t="s">
        <v>18</v>
      </c>
      <c r="D1483" s="4" t="str">
        <f>"何朝芳"</f>
        <v>何朝芳</v>
      </c>
      <c r="E1483" s="4" t="str">
        <f t="shared" si="144"/>
        <v>女</v>
      </c>
    </row>
    <row r="1484" customHeight="1" spans="1:5">
      <c r="A1484" s="4">
        <v>1482</v>
      </c>
      <c r="B1484" s="4" t="str">
        <f>"431720220806092320231259"</f>
        <v>431720220806092320231259</v>
      </c>
      <c r="C1484" s="5" t="s">
        <v>18</v>
      </c>
      <c r="D1484" s="4" t="str">
        <f>"王春婷"</f>
        <v>王春婷</v>
      </c>
      <c r="E1484" s="4" t="str">
        <f t="shared" si="144"/>
        <v>女</v>
      </c>
    </row>
    <row r="1485" customHeight="1" spans="1:5">
      <c r="A1485" s="4">
        <v>1483</v>
      </c>
      <c r="B1485" s="4" t="str">
        <f>"431720220806094548231323"</f>
        <v>431720220806094548231323</v>
      </c>
      <c r="C1485" s="5" t="s">
        <v>18</v>
      </c>
      <c r="D1485" s="4" t="str">
        <f>"黄玉"</f>
        <v>黄玉</v>
      </c>
      <c r="E1485" s="4" t="str">
        <f t="shared" si="144"/>
        <v>女</v>
      </c>
    </row>
    <row r="1486" customHeight="1" spans="1:5">
      <c r="A1486" s="4">
        <v>1484</v>
      </c>
      <c r="B1486" s="4" t="str">
        <f>"431720220806094907231340"</f>
        <v>431720220806094907231340</v>
      </c>
      <c r="C1486" s="5" t="s">
        <v>18</v>
      </c>
      <c r="D1486" s="4" t="str">
        <f>"黄夏梦"</f>
        <v>黄夏梦</v>
      </c>
      <c r="E1486" s="4" t="str">
        <f t="shared" si="144"/>
        <v>女</v>
      </c>
    </row>
    <row r="1487" customHeight="1" spans="1:5">
      <c r="A1487" s="4">
        <v>1485</v>
      </c>
      <c r="B1487" s="4" t="str">
        <f>"431720220806095645231360"</f>
        <v>431720220806095645231360</v>
      </c>
      <c r="C1487" s="5" t="s">
        <v>18</v>
      </c>
      <c r="D1487" s="4" t="str">
        <f>"钟学帆"</f>
        <v>钟学帆</v>
      </c>
      <c r="E1487" s="4" t="str">
        <f t="shared" ref="E1487:E1489" si="145">"男"</f>
        <v>男</v>
      </c>
    </row>
    <row r="1488" customHeight="1" spans="1:5">
      <c r="A1488" s="4">
        <v>1486</v>
      </c>
      <c r="B1488" s="4" t="str">
        <f>"431720220806100330231391"</f>
        <v>431720220806100330231391</v>
      </c>
      <c r="C1488" s="5" t="s">
        <v>18</v>
      </c>
      <c r="D1488" s="4" t="str">
        <f>"吴承忠"</f>
        <v>吴承忠</v>
      </c>
      <c r="E1488" s="4" t="str">
        <f t="shared" si="145"/>
        <v>男</v>
      </c>
    </row>
    <row r="1489" customHeight="1" spans="1:5">
      <c r="A1489" s="4">
        <v>1487</v>
      </c>
      <c r="B1489" s="4" t="str">
        <f>"431720220806100447231398"</f>
        <v>431720220806100447231398</v>
      </c>
      <c r="C1489" s="5" t="s">
        <v>18</v>
      </c>
      <c r="D1489" s="4" t="str">
        <f>"陈才富"</f>
        <v>陈才富</v>
      </c>
      <c r="E1489" s="4" t="str">
        <f t="shared" si="145"/>
        <v>男</v>
      </c>
    </row>
    <row r="1490" customHeight="1" spans="1:5">
      <c r="A1490" s="4">
        <v>1488</v>
      </c>
      <c r="B1490" s="4" t="str">
        <f>"431720220806102907231464"</f>
        <v>431720220806102907231464</v>
      </c>
      <c r="C1490" s="5" t="s">
        <v>18</v>
      </c>
      <c r="D1490" s="4" t="str">
        <f>"温思铭"</f>
        <v>温思铭</v>
      </c>
      <c r="E1490" s="4" t="str">
        <f t="shared" ref="E1490:E1518" si="146">"女"</f>
        <v>女</v>
      </c>
    </row>
    <row r="1491" customHeight="1" spans="1:5">
      <c r="A1491" s="4">
        <v>1489</v>
      </c>
      <c r="B1491" s="4" t="str">
        <f>"431720220806103642231492"</f>
        <v>431720220806103642231492</v>
      </c>
      <c r="C1491" s="5" t="s">
        <v>18</v>
      </c>
      <c r="D1491" s="4" t="str">
        <f>"梁译艺"</f>
        <v>梁译艺</v>
      </c>
      <c r="E1491" s="4" t="str">
        <f t="shared" si="146"/>
        <v>女</v>
      </c>
    </row>
    <row r="1492" customHeight="1" spans="1:5">
      <c r="A1492" s="4">
        <v>1490</v>
      </c>
      <c r="B1492" s="4" t="str">
        <f>"431720220806104511231522"</f>
        <v>431720220806104511231522</v>
      </c>
      <c r="C1492" s="5" t="s">
        <v>18</v>
      </c>
      <c r="D1492" s="4" t="str">
        <f>"杨小丹"</f>
        <v>杨小丹</v>
      </c>
      <c r="E1492" s="4" t="str">
        <f t="shared" si="146"/>
        <v>女</v>
      </c>
    </row>
    <row r="1493" customHeight="1" spans="1:5">
      <c r="A1493" s="4">
        <v>1491</v>
      </c>
      <c r="B1493" s="4" t="str">
        <f>"431720220806105133231537"</f>
        <v>431720220806105133231537</v>
      </c>
      <c r="C1493" s="5" t="s">
        <v>18</v>
      </c>
      <c r="D1493" s="4" t="str">
        <f>"谢克振"</f>
        <v>谢克振</v>
      </c>
      <c r="E1493" s="4" t="str">
        <f t="shared" si="146"/>
        <v>女</v>
      </c>
    </row>
    <row r="1494" customHeight="1" spans="1:5">
      <c r="A1494" s="4">
        <v>1492</v>
      </c>
      <c r="B1494" s="4" t="str">
        <f>"431720220806105234231543"</f>
        <v>431720220806105234231543</v>
      </c>
      <c r="C1494" s="5" t="s">
        <v>18</v>
      </c>
      <c r="D1494" s="4" t="str">
        <f>"符菊梅"</f>
        <v>符菊梅</v>
      </c>
      <c r="E1494" s="4" t="str">
        <f t="shared" si="146"/>
        <v>女</v>
      </c>
    </row>
    <row r="1495" customHeight="1" spans="1:5">
      <c r="A1495" s="4">
        <v>1493</v>
      </c>
      <c r="B1495" s="4" t="str">
        <f>"431720220806105240231544"</f>
        <v>431720220806105240231544</v>
      </c>
      <c r="C1495" s="5" t="s">
        <v>18</v>
      </c>
      <c r="D1495" s="4" t="str">
        <f>"莫启燕"</f>
        <v>莫启燕</v>
      </c>
      <c r="E1495" s="4" t="str">
        <f t="shared" si="146"/>
        <v>女</v>
      </c>
    </row>
    <row r="1496" customHeight="1" spans="1:5">
      <c r="A1496" s="4">
        <v>1494</v>
      </c>
      <c r="B1496" s="4" t="str">
        <f>"431720220806113308231677"</f>
        <v>431720220806113308231677</v>
      </c>
      <c r="C1496" s="5" t="s">
        <v>18</v>
      </c>
      <c r="D1496" s="4" t="str">
        <f>"王材升"</f>
        <v>王材升</v>
      </c>
      <c r="E1496" s="4" t="str">
        <f t="shared" si="146"/>
        <v>女</v>
      </c>
    </row>
    <row r="1497" customHeight="1" spans="1:5">
      <c r="A1497" s="4">
        <v>1495</v>
      </c>
      <c r="B1497" s="4" t="str">
        <f>"431720220806114225231696"</f>
        <v>431720220806114225231696</v>
      </c>
      <c r="C1497" s="5" t="s">
        <v>18</v>
      </c>
      <c r="D1497" s="4" t="str">
        <f>"邢雯琳"</f>
        <v>邢雯琳</v>
      </c>
      <c r="E1497" s="4" t="str">
        <f t="shared" si="146"/>
        <v>女</v>
      </c>
    </row>
    <row r="1498" customHeight="1" spans="1:5">
      <c r="A1498" s="4">
        <v>1496</v>
      </c>
      <c r="B1498" s="4" t="str">
        <f>"431720220806114417231706"</f>
        <v>431720220806114417231706</v>
      </c>
      <c r="C1498" s="5" t="s">
        <v>18</v>
      </c>
      <c r="D1498" s="4" t="str">
        <f>"黎正花"</f>
        <v>黎正花</v>
      </c>
      <c r="E1498" s="4" t="str">
        <f t="shared" si="146"/>
        <v>女</v>
      </c>
    </row>
    <row r="1499" customHeight="1" spans="1:5">
      <c r="A1499" s="4">
        <v>1497</v>
      </c>
      <c r="B1499" s="4" t="str">
        <f>"431720220806114516231712"</f>
        <v>431720220806114516231712</v>
      </c>
      <c r="C1499" s="5" t="s">
        <v>18</v>
      </c>
      <c r="D1499" s="4" t="str">
        <f>"石冬咪"</f>
        <v>石冬咪</v>
      </c>
      <c r="E1499" s="4" t="str">
        <f t="shared" si="146"/>
        <v>女</v>
      </c>
    </row>
    <row r="1500" customHeight="1" spans="1:5">
      <c r="A1500" s="4">
        <v>1498</v>
      </c>
      <c r="B1500" s="4" t="str">
        <f>"431720220806115036231726"</f>
        <v>431720220806115036231726</v>
      </c>
      <c r="C1500" s="5" t="s">
        <v>18</v>
      </c>
      <c r="D1500" s="4" t="str">
        <f>"徐应田"</f>
        <v>徐应田</v>
      </c>
      <c r="E1500" s="4" t="str">
        <f t="shared" si="146"/>
        <v>女</v>
      </c>
    </row>
    <row r="1501" customHeight="1" spans="1:5">
      <c r="A1501" s="4">
        <v>1499</v>
      </c>
      <c r="B1501" s="4" t="str">
        <f>"431720220806115157231730"</f>
        <v>431720220806115157231730</v>
      </c>
      <c r="C1501" s="5" t="s">
        <v>18</v>
      </c>
      <c r="D1501" s="4" t="str">
        <f>"曾颖莹"</f>
        <v>曾颖莹</v>
      </c>
      <c r="E1501" s="4" t="str">
        <f t="shared" si="146"/>
        <v>女</v>
      </c>
    </row>
    <row r="1502" customHeight="1" spans="1:5">
      <c r="A1502" s="4">
        <v>1500</v>
      </c>
      <c r="B1502" s="4" t="str">
        <f>"431720220806120143231759"</f>
        <v>431720220806120143231759</v>
      </c>
      <c r="C1502" s="5" t="s">
        <v>18</v>
      </c>
      <c r="D1502" s="4" t="str">
        <f>"王燕萍"</f>
        <v>王燕萍</v>
      </c>
      <c r="E1502" s="4" t="str">
        <f t="shared" si="146"/>
        <v>女</v>
      </c>
    </row>
    <row r="1503" customHeight="1" spans="1:5">
      <c r="A1503" s="4">
        <v>1501</v>
      </c>
      <c r="B1503" s="4" t="str">
        <f>"431720220806120921231778"</f>
        <v>431720220806120921231778</v>
      </c>
      <c r="C1503" s="5" t="s">
        <v>18</v>
      </c>
      <c r="D1503" s="4" t="str">
        <f>"林小晶"</f>
        <v>林小晶</v>
      </c>
      <c r="E1503" s="4" t="str">
        <f t="shared" si="146"/>
        <v>女</v>
      </c>
    </row>
    <row r="1504" customHeight="1" spans="1:5">
      <c r="A1504" s="4">
        <v>1502</v>
      </c>
      <c r="B1504" s="4" t="str">
        <f>"431720220806122055231801"</f>
        <v>431720220806122055231801</v>
      </c>
      <c r="C1504" s="5" t="s">
        <v>18</v>
      </c>
      <c r="D1504" s="4" t="str">
        <f>"林婧娇"</f>
        <v>林婧娇</v>
      </c>
      <c r="E1504" s="4" t="str">
        <f t="shared" si="146"/>
        <v>女</v>
      </c>
    </row>
    <row r="1505" customHeight="1" spans="1:5">
      <c r="A1505" s="4">
        <v>1503</v>
      </c>
      <c r="B1505" s="4" t="str">
        <f>"431720220806122129231805"</f>
        <v>431720220806122129231805</v>
      </c>
      <c r="C1505" s="5" t="s">
        <v>18</v>
      </c>
      <c r="D1505" s="4" t="str">
        <f>"王燕妮"</f>
        <v>王燕妮</v>
      </c>
      <c r="E1505" s="4" t="str">
        <f t="shared" si="146"/>
        <v>女</v>
      </c>
    </row>
    <row r="1506" customHeight="1" spans="1:5">
      <c r="A1506" s="4">
        <v>1504</v>
      </c>
      <c r="B1506" s="4" t="str">
        <f>"431720220806124950231887"</f>
        <v>431720220806124950231887</v>
      </c>
      <c r="C1506" s="5" t="s">
        <v>18</v>
      </c>
      <c r="D1506" s="4" t="str">
        <f>"邢文明"</f>
        <v>邢文明</v>
      </c>
      <c r="E1506" s="4" t="str">
        <f t="shared" si="146"/>
        <v>女</v>
      </c>
    </row>
    <row r="1507" customHeight="1" spans="1:5">
      <c r="A1507" s="4">
        <v>1505</v>
      </c>
      <c r="B1507" s="4" t="str">
        <f>"431720220806130447231931"</f>
        <v>431720220806130447231931</v>
      </c>
      <c r="C1507" s="5" t="s">
        <v>18</v>
      </c>
      <c r="D1507" s="4" t="str">
        <f>"羊丽梅"</f>
        <v>羊丽梅</v>
      </c>
      <c r="E1507" s="4" t="str">
        <f t="shared" si="146"/>
        <v>女</v>
      </c>
    </row>
    <row r="1508" customHeight="1" spans="1:5">
      <c r="A1508" s="4">
        <v>1506</v>
      </c>
      <c r="B1508" s="4" t="str">
        <f>"431720220806132710231990"</f>
        <v>431720220806132710231990</v>
      </c>
      <c r="C1508" s="5" t="s">
        <v>18</v>
      </c>
      <c r="D1508" s="4" t="str">
        <f>"何海来"</f>
        <v>何海来</v>
      </c>
      <c r="E1508" s="4" t="str">
        <f t="shared" si="146"/>
        <v>女</v>
      </c>
    </row>
    <row r="1509" customHeight="1" spans="1:5">
      <c r="A1509" s="4">
        <v>1507</v>
      </c>
      <c r="B1509" s="4" t="str">
        <f>"431720220806132833231992"</f>
        <v>431720220806132833231992</v>
      </c>
      <c r="C1509" s="5" t="s">
        <v>18</v>
      </c>
      <c r="D1509" s="4" t="str">
        <f>"林发坤"</f>
        <v>林发坤</v>
      </c>
      <c r="E1509" s="4" t="str">
        <f t="shared" si="146"/>
        <v>女</v>
      </c>
    </row>
    <row r="1510" customHeight="1" spans="1:5">
      <c r="A1510" s="4">
        <v>1508</v>
      </c>
      <c r="B1510" s="4" t="str">
        <f>"431720220806155813232293"</f>
        <v>431720220806155813232293</v>
      </c>
      <c r="C1510" s="5" t="s">
        <v>18</v>
      </c>
      <c r="D1510" s="4" t="str">
        <f>"符玉芬"</f>
        <v>符玉芬</v>
      </c>
      <c r="E1510" s="4" t="str">
        <f t="shared" si="146"/>
        <v>女</v>
      </c>
    </row>
    <row r="1511" customHeight="1" spans="1:5">
      <c r="A1511" s="4">
        <v>1509</v>
      </c>
      <c r="B1511" s="4" t="str">
        <f>"431720220806161210232326"</f>
        <v>431720220806161210232326</v>
      </c>
      <c r="C1511" s="5" t="s">
        <v>18</v>
      </c>
      <c r="D1511" s="4" t="str">
        <f>"罗晓欣"</f>
        <v>罗晓欣</v>
      </c>
      <c r="E1511" s="4" t="str">
        <f t="shared" si="146"/>
        <v>女</v>
      </c>
    </row>
    <row r="1512" customHeight="1" spans="1:5">
      <c r="A1512" s="4">
        <v>1510</v>
      </c>
      <c r="B1512" s="4" t="str">
        <f>"431720220806172508232477"</f>
        <v>431720220806172508232477</v>
      </c>
      <c r="C1512" s="5" t="s">
        <v>18</v>
      </c>
      <c r="D1512" s="4" t="str">
        <f>"罗莘"</f>
        <v>罗莘</v>
      </c>
      <c r="E1512" s="4" t="str">
        <f t="shared" si="146"/>
        <v>女</v>
      </c>
    </row>
    <row r="1513" customHeight="1" spans="1:5">
      <c r="A1513" s="4">
        <v>1511</v>
      </c>
      <c r="B1513" s="4" t="str">
        <f>"431720220806174940232513"</f>
        <v>431720220806174940232513</v>
      </c>
      <c r="C1513" s="5" t="s">
        <v>18</v>
      </c>
      <c r="D1513" s="4" t="str">
        <f>"林惠芳"</f>
        <v>林惠芳</v>
      </c>
      <c r="E1513" s="4" t="str">
        <f t="shared" si="146"/>
        <v>女</v>
      </c>
    </row>
    <row r="1514" customHeight="1" spans="1:5">
      <c r="A1514" s="4">
        <v>1512</v>
      </c>
      <c r="B1514" s="4" t="str">
        <f>"431720220806200413232665"</f>
        <v>431720220806200413232665</v>
      </c>
      <c r="C1514" s="5" t="s">
        <v>18</v>
      </c>
      <c r="D1514" s="4" t="str">
        <f>"杨雨顺"</f>
        <v>杨雨顺</v>
      </c>
      <c r="E1514" s="4" t="str">
        <f t="shared" si="146"/>
        <v>女</v>
      </c>
    </row>
    <row r="1515" customHeight="1" spans="1:5">
      <c r="A1515" s="4">
        <v>1513</v>
      </c>
      <c r="B1515" s="4" t="str">
        <f>"431720220806200859232671"</f>
        <v>431720220806200859232671</v>
      </c>
      <c r="C1515" s="5" t="s">
        <v>18</v>
      </c>
      <c r="D1515" s="4" t="str">
        <f>"温小宁"</f>
        <v>温小宁</v>
      </c>
      <c r="E1515" s="4" t="str">
        <f t="shared" si="146"/>
        <v>女</v>
      </c>
    </row>
    <row r="1516" customHeight="1" spans="1:5">
      <c r="A1516" s="4">
        <v>1514</v>
      </c>
      <c r="B1516" s="4" t="str">
        <f>"431720220806201514232679"</f>
        <v>431720220806201514232679</v>
      </c>
      <c r="C1516" s="5" t="s">
        <v>18</v>
      </c>
      <c r="D1516" s="4" t="str">
        <f>"何小花"</f>
        <v>何小花</v>
      </c>
      <c r="E1516" s="4" t="str">
        <f t="shared" si="146"/>
        <v>女</v>
      </c>
    </row>
    <row r="1517" customHeight="1" spans="1:5">
      <c r="A1517" s="4">
        <v>1515</v>
      </c>
      <c r="B1517" s="4" t="str">
        <f>"431720220806204809232714"</f>
        <v>431720220806204809232714</v>
      </c>
      <c r="C1517" s="5" t="s">
        <v>18</v>
      </c>
      <c r="D1517" s="4" t="str">
        <f>"李珍方"</f>
        <v>李珍方</v>
      </c>
      <c r="E1517" s="4" t="str">
        <f t="shared" si="146"/>
        <v>女</v>
      </c>
    </row>
    <row r="1518" customHeight="1" spans="1:5">
      <c r="A1518" s="4">
        <v>1516</v>
      </c>
      <c r="B1518" s="4" t="str">
        <f>"431720220806213440232757"</f>
        <v>431720220806213440232757</v>
      </c>
      <c r="C1518" s="5" t="s">
        <v>18</v>
      </c>
      <c r="D1518" s="4" t="str">
        <f>"黄彩贞"</f>
        <v>黄彩贞</v>
      </c>
      <c r="E1518" s="4" t="str">
        <f t="shared" si="146"/>
        <v>女</v>
      </c>
    </row>
    <row r="1519" customHeight="1" spans="1:5">
      <c r="A1519" s="4">
        <v>1517</v>
      </c>
      <c r="B1519" s="4" t="str">
        <f>"431720220806222114232805"</f>
        <v>431720220806222114232805</v>
      </c>
      <c r="C1519" s="5" t="s">
        <v>18</v>
      </c>
      <c r="D1519" s="4" t="str">
        <f>"张磊"</f>
        <v>张磊</v>
      </c>
      <c r="E1519" s="4" t="str">
        <f>"男"</f>
        <v>男</v>
      </c>
    </row>
    <row r="1520" customHeight="1" spans="1:5">
      <c r="A1520" s="4">
        <v>1518</v>
      </c>
      <c r="B1520" s="4" t="str">
        <f>"431720220807081618232926"</f>
        <v>431720220807081618232926</v>
      </c>
      <c r="C1520" s="5" t="s">
        <v>18</v>
      </c>
      <c r="D1520" s="4" t="str">
        <f>"陈微"</f>
        <v>陈微</v>
      </c>
      <c r="E1520" s="4" t="str">
        <f t="shared" ref="E1520:E1559" si="147">"女"</f>
        <v>女</v>
      </c>
    </row>
    <row r="1521" customHeight="1" spans="1:5">
      <c r="A1521" s="4">
        <v>1519</v>
      </c>
      <c r="B1521" s="4" t="str">
        <f>"431720220807090604232957"</f>
        <v>431720220807090604232957</v>
      </c>
      <c r="C1521" s="5" t="s">
        <v>18</v>
      </c>
      <c r="D1521" s="4" t="str">
        <f>"黎慧芳"</f>
        <v>黎慧芳</v>
      </c>
      <c r="E1521" s="4" t="str">
        <f t="shared" si="147"/>
        <v>女</v>
      </c>
    </row>
    <row r="1522" customHeight="1" spans="1:5">
      <c r="A1522" s="4">
        <v>1520</v>
      </c>
      <c r="B1522" s="4" t="str">
        <f>"431720220807102225233027"</f>
        <v>431720220807102225233027</v>
      </c>
      <c r="C1522" s="5" t="s">
        <v>18</v>
      </c>
      <c r="D1522" s="4" t="str">
        <f>"徐有连"</f>
        <v>徐有连</v>
      </c>
      <c r="E1522" s="4" t="str">
        <f t="shared" si="147"/>
        <v>女</v>
      </c>
    </row>
    <row r="1523" customHeight="1" spans="1:5">
      <c r="A1523" s="4">
        <v>1521</v>
      </c>
      <c r="B1523" s="4" t="str">
        <f>"431720220807114633233110"</f>
        <v>431720220807114633233110</v>
      </c>
      <c r="C1523" s="5" t="s">
        <v>18</v>
      </c>
      <c r="D1523" s="4" t="str">
        <f>"吉才红"</f>
        <v>吉才红</v>
      </c>
      <c r="E1523" s="4" t="str">
        <f t="shared" si="147"/>
        <v>女</v>
      </c>
    </row>
    <row r="1524" customHeight="1" spans="1:5">
      <c r="A1524" s="4">
        <v>1522</v>
      </c>
      <c r="B1524" s="4" t="str">
        <f>"431720220807120428233132"</f>
        <v>431720220807120428233132</v>
      </c>
      <c r="C1524" s="5" t="s">
        <v>18</v>
      </c>
      <c r="D1524" s="4" t="str">
        <f>"周妹果"</f>
        <v>周妹果</v>
      </c>
      <c r="E1524" s="4" t="str">
        <f t="shared" si="147"/>
        <v>女</v>
      </c>
    </row>
    <row r="1525" customHeight="1" spans="1:5">
      <c r="A1525" s="4">
        <v>1523</v>
      </c>
      <c r="B1525" s="4" t="str">
        <f>"431720220807122951233154"</f>
        <v>431720220807122951233154</v>
      </c>
      <c r="C1525" s="5" t="s">
        <v>18</v>
      </c>
      <c r="D1525" s="4" t="str">
        <f>"梁春兰"</f>
        <v>梁春兰</v>
      </c>
      <c r="E1525" s="4" t="str">
        <f t="shared" si="147"/>
        <v>女</v>
      </c>
    </row>
    <row r="1526" customHeight="1" spans="1:5">
      <c r="A1526" s="4">
        <v>1524</v>
      </c>
      <c r="B1526" s="4" t="str">
        <f>"431720220807125333233174"</f>
        <v>431720220807125333233174</v>
      </c>
      <c r="C1526" s="5" t="s">
        <v>18</v>
      </c>
      <c r="D1526" s="4" t="str">
        <f>"符淑娇"</f>
        <v>符淑娇</v>
      </c>
      <c r="E1526" s="4" t="str">
        <f t="shared" si="147"/>
        <v>女</v>
      </c>
    </row>
    <row r="1527" customHeight="1" spans="1:5">
      <c r="A1527" s="4">
        <v>1525</v>
      </c>
      <c r="B1527" s="4" t="str">
        <f>"431720220807131836233193"</f>
        <v>431720220807131836233193</v>
      </c>
      <c r="C1527" s="5" t="s">
        <v>18</v>
      </c>
      <c r="D1527" s="4" t="str">
        <f>"符含萍"</f>
        <v>符含萍</v>
      </c>
      <c r="E1527" s="4" t="str">
        <f t="shared" si="147"/>
        <v>女</v>
      </c>
    </row>
    <row r="1528" customHeight="1" spans="1:5">
      <c r="A1528" s="4">
        <v>1526</v>
      </c>
      <c r="B1528" s="4" t="str">
        <f>"431720220807152302233316"</f>
        <v>431720220807152302233316</v>
      </c>
      <c r="C1528" s="5" t="s">
        <v>18</v>
      </c>
      <c r="D1528" s="4" t="str">
        <f>"林川"</f>
        <v>林川</v>
      </c>
      <c r="E1528" s="4" t="str">
        <f t="shared" si="147"/>
        <v>女</v>
      </c>
    </row>
    <row r="1529" customHeight="1" spans="1:5">
      <c r="A1529" s="4">
        <v>1527</v>
      </c>
      <c r="B1529" s="4" t="str">
        <f>"431720220807155242233353"</f>
        <v>431720220807155242233353</v>
      </c>
      <c r="C1529" s="5" t="s">
        <v>18</v>
      </c>
      <c r="D1529" s="4" t="str">
        <f>"王利兰"</f>
        <v>王利兰</v>
      </c>
      <c r="E1529" s="4" t="str">
        <f t="shared" si="147"/>
        <v>女</v>
      </c>
    </row>
    <row r="1530" customHeight="1" spans="1:5">
      <c r="A1530" s="4">
        <v>1528</v>
      </c>
      <c r="B1530" s="4" t="str">
        <f>"431720220807162425233394"</f>
        <v>431720220807162425233394</v>
      </c>
      <c r="C1530" s="5" t="s">
        <v>18</v>
      </c>
      <c r="D1530" s="4" t="str">
        <f>"梁寿桃"</f>
        <v>梁寿桃</v>
      </c>
      <c r="E1530" s="4" t="str">
        <f t="shared" si="147"/>
        <v>女</v>
      </c>
    </row>
    <row r="1531" customHeight="1" spans="1:5">
      <c r="A1531" s="4">
        <v>1529</v>
      </c>
      <c r="B1531" s="4" t="str">
        <f>"431720220807163420233401"</f>
        <v>431720220807163420233401</v>
      </c>
      <c r="C1531" s="5" t="s">
        <v>18</v>
      </c>
      <c r="D1531" s="4" t="str">
        <f>"陈秀香"</f>
        <v>陈秀香</v>
      </c>
      <c r="E1531" s="4" t="str">
        <f t="shared" si="147"/>
        <v>女</v>
      </c>
    </row>
    <row r="1532" customHeight="1" spans="1:5">
      <c r="A1532" s="4">
        <v>1530</v>
      </c>
      <c r="B1532" s="4" t="str">
        <f>"431720220807171306233440"</f>
        <v>431720220807171306233440</v>
      </c>
      <c r="C1532" s="5" t="s">
        <v>18</v>
      </c>
      <c r="D1532" s="4" t="str">
        <f>"周亚莲"</f>
        <v>周亚莲</v>
      </c>
      <c r="E1532" s="4" t="str">
        <f t="shared" si="147"/>
        <v>女</v>
      </c>
    </row>
    <row r="1533" customHeight="1" spans="1:5">
      <c r="A1533" s="4">
        <v>1531</v>
      </c>
      <c r="B1533" s="4" t="str">
        <f>"431720220807175014233468"</f>
        <v>431720220807175014233468</v>
      </c>
      <c r="C1533" s="5" t="s">
        <v>18</v>
      </c>
      <c r="D1533" s="4" t="str">
        <f>"蔡元女"</f>
        <v>蔡元女</v>
      </c>
      <c r="E1533" s="4" t="str">
        <f t="shared" si="147"/>
        <v>女</v>
      </c>
    </row>
    <row r="1534" customHeight="1" spans="1:5">
      <c r="A1534" s="4">
        <v>1532</v>
      </c>
      <c r="B1534" s="4" t="str">
        <f>"431720220807184031233504"</f>
        <v>431720220807184031233504</v>
      </c>
      <c r="C1534" s="5" t="s">
        <v>18</v>
      </c>
      <c r="D1534" s="4" t="str">
        <f>"刘夏雨"</f>
        <v>刘夏雨</v>
      </c>
      <c r="E1534" s="4" t="str">
        <f t="shared" si="147"/>
        <v>女</v>
      </c>
    </row>
    <row r="1535" customHeight="1" spans="1:5">
      <c r="A1535" s="4">
        <v>1533</v>
      </c>
      <c r="B1535" s="4" t="str">
        <f>"431720220807191256233516"</f>
        <v>431720220807191256233516</v>
      </c>
      <c r="C1535" s="5" t="s">
        <v>18</v>
      </c>
      <c r="D1535" s="4" t="str">
        <f>"林悦"</f>
        <v>林悦</v>
      </c>
      <c r="E1535" s="4" t="str">
        <f t="shared" si="147"/>
        <v>女</v>
      </c>
    </row>
    <row r="1536" customHeight="1" spans="1:5">
      <c r="A1536" s="4">
        <v>1534</v>
      </c>
      <c r="B1536" s="4" t="str">
        <f>"431720220807194220233530"</f>
        <v>431720220807194220233530</v>
      </c>
      <c r="C1536" s="5" t="s">
        <v>18</v>
      </c>
      <c r="D1536" s="4" t="str">
        <f>"陈钟欢"</f>
        <v>陈钟欢</v>
      </c>
      <c r="E1536" s="4" t="str">
        <f t="shared" si="147"/>
        <v>女</v>
      </c>
    </row>
    <row r="1537" customHeight="1" spans="1:5">
      <c r="A1537" s="4">
        <v>1535</v>
      </c>
      <c r="B1537" s="4" t="str">
        <f>"431720220807203026233560"</f>
        <v>431720220807203026233560</v>
      </c>
      <c r="C1537" s="5" t="s">
        <v>18</v>
      </c>
      <c r="D1537" s="4" t="str">
        <f>"王锡慧"</f>
        <v>王锡慧</v>
      </c>
      <c r="E1537" s="4" t="str">
        <f t="shared" si="147"/>
        <v>女</v>
      </c>
    </row>
    <row r="1538" customHeight="1" spans="1:5">
      <c r="A1538" s="4">
        <v>1536</v>
      </c>
      <c r="B1538" s="4" t="str">
        <f>"431720220807204740233571"</f>
        <v>431720220807204740233571</v>
      </c>
      <c r="C1538" s="5" t="s">
        <v>18</v>
      </c>
      <c r="D1538" s="4" t="str">
        <f>"王慧丽"</f>
        <v>王慧丽</v>
      </c>
      <c r="E1538" s="4" t="str">
        <f t="shared" si="147"/>
        <v>女</v>
      </c>
    </row>
    <row r="1539" customHeight="1" spans="1:5">
      <c r="A1539" s="4">
        <v>1537</v>
      </c>
      <c r="B1539" s="4" t="str">
        <f>"431720220807205334233576"</f>
        <v>431720220807205334233576</v>
      </c>
      <c r="C1539" s="5" t="s">
        <v>18</v>
      </c>
      <c r="D1539" s="4" t="str">
        <f>"符丽莹"</f>
        <v>符丽莹</v>
      </c>
      <c r="E1539" s="4" t="str">
        <f t="shared" si="147"/>
        <v>女</v>
      </c>
    </row>
    <row r="1540" customHeight="1" spans="1:5">
      <c r="A1540" s="4">
        <v>1538</v>
      </c>
      <c r="B1540" s="4" t="str">
        <f>"431720220807211615233589"</f>
        <v>431720220807211615233589</v>
      </c>
      <c r="C1540" s="5" t="s">
        <v>18</v>
      </c>
      <c r="D1540" s="4" t="str">
        <f>"陈银"</f>
        <v>陈银</v>
      </c>
      <c r="E1540" s="4" t="str">
        <f t="shared" si="147"/>
        <v>女</v>
      </c>
    </row>
    <row r="1541" customHeight="1" spans="1:5">
      <c r="A1541" s="4">
        <v>1539</v>
      </c>
      <c r="B1541" s="4" t="str">
        <f>"431720220807213840233603"</f>
        <v>431720220807213840233603</v>
      </c>
      <c r="C1541" s="5" t="s">
        <v>18</v>
      </c>
      <c r="D1541" s="4" t="str">
        <f>"邹燕"</f>
        <v>邹燕</v>
      </c>
      <c r="E1541" s="4" t="str">
        <f t="shared" si="147"/>
        <v>女</v>
      </c>
    </row>
    <row r="1542" customHeight="1" spans="1:5">
      <c r="A1542" s="4">
        <v>1540</v>
      </c>
      <c r="B1542" s="4" t="str">
        <f>"431720220807215759233618"</f>
        <v>431720220807215759233618</v>
      </c>
      <c r="C1542" s="5" t="s">
        <v>18</v>
      </c>
      <c r="D1542" s="4" t="str">
        <f>"林道萍"</f>
        <v>林道萍</v>
      </c>
      <c r="E1542" s="4" t="str">
        <f t="shared" si="147"/>
        <v>女</v>
      </c>
    </row>
    <row r="1543" customHeight="1" spans="1:5">
      <c r="A1543" s="4">
        <v>1541</v>
      </c>
      <c r="B1543" s="4" t="str">
        <f>"431720220807222128233628"</f>
        <v>431720220807222128233628</v>
      </c>
      <c r="C1543" s="5" t="s">
        <v>18</v>
      </c>
      <c r="D1543" s="4" t="str">
        <f>"刘邦英"</f>
        <v>刘邦英</v>
      </c>
      <c r="E1543" s="4" t="str">
        <f t="shared" si="147"/>
        <v>女</v>
      </c>
    </row>
    <row r="1544" customHeight="1" spans="1:5">
      <c r="A1544" s="4">
        <v>1542</v>
      </c>
      <c r="B1544" s="4" t="str">
        <f>"431720220807223800233643"</f>
        <v>431720220807223800233643</v>
      </c>
      <c r="C1544" s="5" t="s">
        <v>18</v>
      </c>
      <c r="D1544" s="4" t="str">
        <f>"林彩红"</f>
        <v>林彩红</v>
      </c>
      <c r="E1544" s="4" t="str">
        <f t="shared" si="147"/>
        <v>女</v>
      </c>
    </row>
    <row r="1545" customHeight="1" spans="1:5">
      <c r="A1545" s="4">
        <v>1543</v>
      </c>
      <c r="B1545" s="4" t="str">
        <f>"431720220807231956233661"</f>
        <v>431720220807231956233661</v>
      </c>
      <c r="C1545" s="5" t="s">
        <v>18</v>
      </c>
      <c r="D1545" s="4" t="str">
        <f>"杨婷"</f>
        <v>杨婷</v>
      </c>
      <c r="E1545" s="4" t="str">
        <f t="shared" si="147"/>
        <v>女</v>
      </c>
    </row>
    <row r="1546" customHeight="1" spans="1:5">
      <c r="A1546" s="4">
        <v>1544</v>
      </c>
      <c r="B1546" s="4" t="str">
        <f>"431720220807232247233663"</f>
        <v>431720220807232247233663</v>
      </c>
      <c r="C1546" s="5" t="s">
        <v>18</v>
      </c>
      <c r="D1546" s="4" t="str">
        <f>"陈依宁"</f>
        <v>陈依宁</v>
      </c>
      <c r="E1546" s="4" t="str">
        <f t="shared" si="147"/>
        <v>女</v>
      </c>
    </row>
    <row r="1547" customHeight="1" spans="1:5">
      <c r="A1547" s="4">
        <v>1545</v>
      </c>
      <c r="B1547" s="4" t="str">
        <f>"431720220808000016233676"</f>
        <v>431720220808000016233676</v>
      </c>
      <c r="C1547" s="5" t="s">
        <v>18</v>
      </c>
      <c r="D1547" s="4" t="str">
        <f>"黎秋霞"</f>
        <v>黎秋霞</v>
      </c>
      <c r="E1547" s="4" t="str">
        <f t="shared" si="147"/>
        <v>女</v>
      </c>
    </row>
    <row r="1548" customHeight="1" spans="1:5">
      <c r="A1548" s="4">
        <v>1546</v>
      </c>
      <c r="B1548" s="4" t="str">
        <f>"431720220808091241234073"</f>
        <v>431720220808091241234073</v>
      </c>
      <c r="C1548" s="5" t="s">
        <v>18</v>
      </c>
      <c r="D1548" s="4" t="str">
        <f>"李翼桃"</f>
        <v>李翼桃</v>
      </c>
      <c r="E1548" s="4" t="str">
        <f t="shared" si="147"/>
        <v>女</v>
      </c>
    </row>
    <row r="1549" customHeight="1" spans="1:5">
      <c r="A1549" s="4">
        <v>1547</v>
      </c>
      <c r="B1549" s="4" t="str">
        <f>"431720220808092750234200"</f>
        <v>431720220808092750234200</v>
      </c>
      <c r="C1549" s="5" t="s">
        <v>18</v>
      </c>
      <c r="D1549" s="4" t="str">
        <f>"林敏"</f>
        <v>林敏</v>
      </c>
      <c r="E1549" s="4" t="str">
        <f t="shared" si="147"/>
        <v>女</v>
      </c>
    </row>
    <row r="1550" customHeight="1" spans="1:5">
      <c r="A1550" s="4">
        <v>1548</v>
      </c>
      <c r="B1550" s="4" t="str">
        <f>"431720220808092814234204"</f>
        <v>431720220808092814234204</v>
      </c>
      <c r="C1550" s="5" t="s">
        <v>18</v>
      </c>
      <c r="D1550" s="4" t="str">
        <f>"郑庆玲"</f>
        <v>郑庆玲</v>
      </c>
      <c r="E1550" s="4" t="str">
        <f t="shared" si="147"/>
        <v>女</v>
      </c>
    </row>
    <row r="1551" customHeight="1" spans="1:5">
      <c r="A1551" s="4">
        <v>1549</v>
      </c>
      <c r="B1551" s="4" t="str">
        <f>"431720220808114252234988"</f>
        <v>431720220808114252234988</v>
      </c>
      <c r="C1551" s="5" t="s">
        <v>18</v>
      </c>
      <c r="D1551" s="4" t="str">
        <f>"洪莉燕"</f>
        <v>洪莉燕</v>
      </c>
      <c r="E1551" s="4" t="str">
        <f t="shared" si="147"/>
        <v>女</v>
      </c>
    </row>
    <row r="1552" customHeight="1" spans="1:5">
      <c r="A1552" s="4">
        <v>1550</v>
      </c>
      <c r="B1552" s="4" t="str">
        <f>"431720220808132009235340"</f>
        <v>431720220808132009235340</v>
      </c>
      <c r="C1552" s="5" t="s">
        <v>18</v>
      </c>
      <c r="D1552" s="4" t="str">
        <f>"石紫艳"</f>
        <v>石紫艳</v>
      </c>
      <c r="E1552" s="4" t="str">
        <f t="shared" si="147"/>
        <v>女</v>
      </c>
    </row>
    <row r="1553" customHeight="1" spans="1:5">
      <c r="A1553" s="4">
        <v>1551</v>
      </c>
      <c r="B1553" s="4" t="str">
        <f>"431720220808134341235398"</f>
        <v>431720220808134341235398</v>
      </c>
      <c r="C1553" s="5" t="s">
        <v>18</v>
      </c>
      <c r="D1553" s="4" t="str">
        <f>"孙丽香"</f>
        <v>孙丽香</v>
      </c>
      <c r="E1553" s="4" t="str">
        <f t="shared" si="147"/>
        <v>女</v>
      </c>
    </row>
    <row r="1554" customHeight="1" spans="1:5">
      <c r="A1554" s="4">
        <v>1552</v>
      </c>
      <c r="B1554" s="4" t="str">
        <f>"431720220808140931235455"</f>
        <v>431720220808140931235455</v>
      </c>
      <c r="C1554" s="5" t="s">
        <v>18</v>
      </c>
      <c r="D1554" s="4" t="str">
        <f>"符翠向"</f>
        <v>符翠向</v>
      </c>
      <c r="E1554" s="4" t="str">
        <f t="shared" si="147"/>
        <v>女</v>
      </c>
    </row>
    <row r="1555" customHeight="1" spans="1:5">
      <c r="A1555" s="4">
        <v>1553</v>
      </c>
      <c r="B1555" s="4" t="str">
        <f>"431720220808143630235521"</f>
        <v>431720220808143630235521</v>
      </c>
      <c r="C1555" s="5" t="s">
        <v>18</v>
      </c>
      <c r="D1555" s="4" t="str">
        <f>"陈艳"</f>
        <v>陈艳</v>
      </c>
      <c r="E1555" s="4" t="str">
        <f t="shared" si="147"/>
        <v>女</v>
      </c>
    </row>
    <row r="1556" customHeight="1" spans="1:5">
      <c r="A1556" s="4">
        <v>1554</v>
      </c>
      <c r="B1556" s="4" t="str">
        <f>"431720220808145502235577"</f>
        <v>431720220808145502235577</v>
      </c>
      <c r="C1556" s="5" t="s">
        <v>18</v>
      </c>
      <c r="D1556" s="4" t="str">
        <f>"张名娟"</f>
        <v>张名娟</v>
      </c>
      <c r="E1556" s="4" t="str">
        <f t="shared" si="147"/>
        <v>女</v>
      </c>
    </row>
    <row r="1557" customHeight="1" spans="1:5">
      <c r="A1557" s="4">
        <v>1555</v>
      </c>
      <c r="B1557" s="4" t="str">
        <f>"431720220808152725235695"</f>
        <v>431720220808152725235695</v>
      </c>
      <c r="C1557" s="5" t="s">
        <v>18</v>
      </c>
      <c r="D1557" s="4" t="str">
        <f>"张银雪"</f>
        <v>张银雪</v>
      </c>
      <c r="E1557" s="4" t="str">
        <f t="shared" si="147"/>
        <v>女</v>
      </c>
    </row>
    <row r="1558" customHeight="1" spans="1:5">
      <c r="A1558" s="4">
        <v>1556</v>
      </c>
      <c r="B1558" s="4" t="str">
        <f>"431720220808163944235926"</f>
        <v>431720220808163944235926</v>
      </c>
      <c r="C1558" s="5" t="s">
        <v>18</v>
      </c>
      <c r="D1558" s="4" t="str">
        <f>"莫小芳"</f>
        <v>莫小芳</v>
      </c>
      <c r="E1558" s="4" t="str">
        <f t="shared" si="147"/>
        <v>女</v>
      </c>
    </row>
    <row r="1559" customHeight="1" spans="1:5">
      <c r="A1559" s="4">
        <v>1557</v>
      </c>
      <c r="B1559" s="4" t="str">
        <f>"431720220808170049236004"</f>
        <v>431720220808170049236004</v>
      </c>
      <c r="C1559" s="5" t="s">
        <v>18</v>
      </c>
      <c r="D1559" s="4" t="str">
        <f>"林丽"</f>
        <v>林丽</v>
      </c>
      <c r="E1559" s="4" t="str">
        <f t="shared" si="147"/>
        <v>女</v>
      </c>
    </row>
    <row r="1560" customHeight="1" spans="1:5">
      <c r="A1560" s="4">
        <v>1558</v>
      </c>
      <c r="B1560" s="4" t="str">
        <f>"431720220808172844236097"</f>
        <v>431720220808172844236097</v>
      </c>
      <c r="C1560" s="5" t="s">
        <v>18</v>
      </c>
      <c r="D1560" s="4" t="str">
        <f>"蔡斌"</f>
        <v>蔡斌</v>
      </c>
      <c r="E1560" s="4" t="str">
        <f>"男"</f>
        <v>男</v>
      </c>
    </row>
    <row r="1561" customHeight="1" spans="1:5">
      <c r="A1561" s="4">
        <v>1559</v>
      </c>
      <c r="B1561" s="4" t="str">
        <f>"431720220808181305236209"</f>
        <v>431720220808181305236209</v>
      </c>
      <c r="C1561" s="5" t="s">
        <v>18</v>
      </c>
      <c r="D1561" s="4" t="str">
        <f>"胡亚应"</f>
        <v>胡亚应</v>
      </c>
      <c r="E1561" s="4" t="str">
        <f t="shared" ref="E1561:E1564" si="148">"女"</f>
        <v>女</v>
      </c>
    </row>
    <row r="1562" customHeight="1" spans="1:5">
      <c r="A1562" s="4">
        <v>1560</v>
      </c>
      <c r="B1562" s="4" t="str">
        <f>"431720220808211648236670"</f>
        <v>431720220808211648236670</v>
      </c>
      <c r="C1562" s="5" t="s">
        <v>18</v>
      </c>
      <c r="D1562" s="4" t="str">
        <f>"黎基敏"</f>
        <v>黎基敏</v>
      </c>
      <c r="E1562" s="4" t="str">
        <f t="shared" si="148"/>
        <v>女</v>
      </c>
    </row>
    <row r="1563" customHeight="1" spans="1:5">
      <c r="A1563" s="4">
        <v>1561</v>
      </c>
      <c r="B1563" s="4" t="str">
        <f>"431720220808214556236741"</f>
        <v>431720220808214556236741</v>
      </c>
      <c r="C1563" s="5" t="s">
        <v>18</v>
      </c>
      <c r="D1563" s="4" t="str">
        <f>"刘乐乐"</f>
        <v>刘乐乐</v>
      </c>
      <c r="E1563" s="4" t="str">
        <f t="shared" si="148"/>
        <v>女</v>
      </c>
    </row>
    <row r="1564" customHeight="1" spans="1:5">
      <c r="A1564" s="4">
        <v>1562</v>
      </c>
      <c r="B1564" s="4" t="str">
        <f>"431720220808221939236825"</f>
        <v>431720220808221939236825</v>
      </c>
      <c r="C1564" s="5" t="s">
        <v>18</v>
      </c>
      <c r="D1564" s="4" t="str">
        <f>"谭彩玲"</f>
        <v>谭彩玲</v>
      </c>
      <c r="E1564" s="4" t="str">
        <f t="shared" si="148"/>
        <v>女</v>
      </c>
    </row>
    <row r="1565" customHeight="1" spans="1:5">
      <c r="A1565" s="4">
        <v>1563</v>
      </c>
      <c r="B1565" s="4" t="str">
        <f>"431720220808222808236843"</f>
        <v>431720220808222808236843</v>
      </c>
      <c r="C1565" s="5" t="s">
        <v>18</v>
      </c>
      <c r="D1565" s="4" t="str">
        <f>"王朝孟"</f>
        <v>王朝孟</v>
      </c>
      <c r="E1565" s="4" t="str">
        <f>"男"</f>
        <v>男</v>
      </c>
    </row>
    <row r="1566" customHeight="1" spans="1:5">
      <c r="A1566" s="4">
        <v>1564</v>
      </c>
      <c r="B1566" s="4" t="str">
        <f>"431720220808232538236915"</f>
        <v>431720220808232538236915</v>
      </c>
      <c r="C1566" s="5" t="s">
        <v>18</v>
      </c>
      <c r="D1566" s="4" t="str">
        <f>"赵日周"</f>
        <v>赵日周</v>
      </c>
      <c r="E1566" s="4" t="str">
        <f t="shared" ref="E1566:E1569" si="149">"女"</f>
        <v>女</v>
      </c>
    </row>
    <row r="1567" customHeight="1" spans="1:5">
      <c r="A1567" s="4">
        <v>1565</v>
      </c>
      <c r="B1567" s="4" t="str">
        <f>"431720220809001428236947"</f>
        <v>431720220809001428236947</v>
      </c>
      <c r="C1567" s="5" t="s">
        <v>18</v>
      </c>
      <c r="D1567" s="4" t="str">
        <f>"周彩今"</f>
        <v>周彩今</v>
      </c>
      <c r="E1567" s="4" t="str">
        <f t="shared" si="149"/>
        <v>女</v>
      </c>
    </row>
    <row r="1568" customHeight="1" spans="1:5">
      <c r="A1568" s="4">
        <v>1566</v>
      </c>
      <c r="B1568" s="4" t="str">
        <f>"431720220809083101237075"</f>
        <v>431720220809083101237075</v>
      </c>
      <c r="C1568" s="5" t="s">
        <v>18</v>
      </c>
      <c r="D1568" s="4" t="str">
        <f>"王晓娜"</f>
        <v>王晓娜</v>
      </c>
      <c r="E1568" s="4" t="str">
        <f t="shared" si="149"/>
        <v>女</v>
      </c>
    </row>
    <row r="1569" customHeight="1" spans="1:5">
      <c r="A1569" s="4">
        <v>1567</v>
      </c>
      <c r="B1569" s="4" t="str">
        <f>"431720220809083435237084"</f>
        <v>431720220809083435237084</v>
      </c>
      <c r="C1569" s="5" t="s">
        <v>18</v>
      </c>
      <c r="D1569" s="4" t="str">
        <f>"李华姑"</f>
        <v>李华姑</v>
      </c>
      <c r="E1569" s="4" t="str">
        <f t="shared" si="149"/>
        <v>女</v>
      </c>
    </row>
    <row r="1570" customHeight="1" spans="1:5">
      <c r="A1570" s="4">
        <v>1568</v>
      </c>
      <c r="B1570" s="4" t="str">
        <f>"431720220809121655237753"</f>
        <v>431720220809121655237753</v>
      </c>
      <c r="C1570" s="5" t="s">
        <v>18</v>
      </c>
      <c r="D1570" s="4" t="str">
        <f>"苏群胜"</f>
        <v>苏群胜</v>
      </c>
      <c r="E1570" s="4" t="str">
        <f>"男"</f>
        <v>男</v>
      </c>
    </row>
    <row r="1571" customHeight="1" spans="1:5">
      <c r="A1571" s="4">
        <v>1569</v>
      </c>
      <c r="B1571" s="4" t="str">
        <f>"431720220809143228238041"</f>
        <v>431720220809143228238041</v>
      </c>
      <c r="C1571" s="5" t="s">
        <v>18</v>
      </c>
      <c r="D1571" s="4" t="str">
        <f>"羊英荣"</f>
        <v>羊英荣</v>
      </c>
      <c r="E1571" s="4" t="str">
        <f t="shared" ref="E1571:E1610" si="150">"女"</f>
        <v>女</v>
      </c>
    </row>
    <row r="1572" customHeight="1" spans="1:5">
      <c r="A1572" s="4">
        <v>1570</v>
      </c>
      <c r="B1572" s="4" t="str">
        <f>"431720220809153146238185"</f>
        <v>431720220809153146238185</v>
      </c>
      <c r="C1572" s="5" t="s">
        <v>18</v>
      </c>
      <c r="D1572" s="4" t="str">
        <f>"张昕"</f>
        <v>张昕</v>
      </c>
      <c r="E1572" s="4" t="str">
        <f t="shared" si="150"/>
        <v>女</v>
      </c>
    </row>
    <row r="1573" customHeight="1" spans="1:5">
      <c r="A1573" s="4">
        <v>1571</v>
      </c>
      <c r="B1573" s="4" t="str">
        <f>"431720220809153415238191"</f>
        <v>431720220809153415238191</v>
      </c>
      <c r="C1573" s="5" t="s">
        <v>18</v>
      </c>
      <c r="D1573" s="4" t="str">
        <f>"韦安玲"</f>
        <v>韦安玲</v>
      </c>
      <c r="E1573" s="4" t="str">
        <f t="shared" si="150"/>
        <v>女</v>
      </c>
    </row>
    <row r="1574" customHeight="1" spans="1:5">
      <c r="A1574" s="4">
        <v>1572</v>
      </c>
      <c r="B1574" s="4" t="str">
        <f>"431720220809155329238246"</f>
        <v>431720220809155329238246</v>
      </c>
      <c r="C1574" s="5" t="s">
        <v>18</v>
      </c>
      <c r="D1574" s="4" t="str">
        <f>"王慧娇"</f>
        <v>王慧娇</v>
      </c>
      <c r="E1574" s="4" t="str">
        <f t="shared" si="150"/>
        <v>女</v>
      </c>
    </row>
    <row r="1575" customHeight="1" spans="1:5">
      <c r="A1575" s="4">
        <v>1573</v>
      </c>
      <c r="B1575" s="4" t="str">
        <f>"431720220809173730238485"</f>
        <v>431720220809173730238485</v>
      </c>
      <c r="C1575" s="5" t="s">
        <v>18</v>
      </c>
      <c r="D1575" s="4" t="str">
        <f>"王玉"</f>
        <v>王玉</v>
      </c>
      <c r="E1575" s="4" t="str">
        <f t="shared" si="150"/>
        <v>女</v>
      </c>
    </row>
    <row r="1576" customHeight="1" spans="1:5">
      <c r="A1576" s="4">
        <v>1574</v>
      </c>
      <c r="B1576" s="4" t="str">
        <f>"431720220809194516238698"</f>
        <v>431720220809194516238698</v>
      </c>
      <c r="C1576" s="5" t="s">
        <v>18</v>
      </c>
      <c r="D1576" s="4" t="str">
        <f>"许芳婷"</f>
        <v>许芳婷</v>
      </c>
      <c r="E1576" s="4" t="str">
        <f t="shared" si="150"/>
        <v>女</v>
      </c>
    </row>
    <row r="1577" customHeight="1" spans="1:5">
      <c r="A1577" s="4">
        <v>1575</v>
      </c>
      <c r="B1577" s="4" t="str">
        <f>"431720220809200802238730"</f>
        <v>431720220809200802238730</v>
      </c>
      <c r="C1577" s="5" t="s">
        <v>18</v>
      </c>
      <c r="D1577" s="4" t="str">
        <f>"王小映"</f>
        <v>王小映</v>
      </c>
      <c r="E1577" s="4" t="str">
        <f t="shared" si="150"/>
        <v>女</v>
      </c>
    </row>
    <row r="1578" customHeight="1" spans="1:5">
      <c r="A1578" s="4">
        <v>1576</v>
      </c>
      <c r="B1578" s="4" t="str">
        <f>"431720220809212227238894"</f>
        <v>431720220809212227238894</v>
      </c>
      <c r="C1578" s="5" t="s">
        <v>18</v>
      </c>
      <c r="D1578" s="4" t="str">
        <f>"罗全迷"</f>
        <v>罗全迷</v>
      </c>
      <c r="E1578" s="4" t="str">
        <f t="shared" si="150"/>
        <v>女</v>
      </c>
    </row>
    <row r="1579" customHeight="1" spans="1:5">
      <c r="A1579" s="4">
        <v>1577</v>
      </c>
      <c r="B1579" s="4" t="str">
        <f>"431720220809215543238973"</f>
        <v>431720220809215543238973</v>
      </c>
      <c r="C1579" s="5" t="s">
        <v>18</v>
      </c>
      <c r="D1579" s="4" t="str">
        <f>"张倩莹"</f>
        <v>张倩莹</v>
      </c>
      <c r="E1579" s="4" t="str">
        <f t="shared" si="150"/>
        <v>女</v>
      </c>
    </row>
    <row r="1580" customHeight="1" spans="1:5">
      <c r="A1580" s="4">
        <v>1578</v>
      </c>
      <c r="B1580" s="4" t="str">
        <f>"431720220809220411238997"</f>
        <v>431720220809220411238997</v>
      </c>
      <c r="C1580" s="5" t="s">
        <v>18</v>
      </c>
      <c r="D1580" s="4" t="str">
        <f>"朱奕烹"</f>
        <v>朱奕烹</v>
      </c>
      <c r="E1580" s="4" t="str">
        <f t="shared" si="150"/>
        <v>女</v>
      </c>
    </row>
    <row r="1581" customHeight="1" spans="1:5">
      <c r="A1581" s="4">
        <v>1579</v>
      </c>
      <c r="B1581" s="4" t="str">
        <f>"431720220809225612239098"</f>
        <v>431720220809225612239098</v>
      </c>
      <c r="C1581" s="5" t="s">
        <v>18</v>
      </c>
      <c r="D1581" s="4" t="str">
        <f>"李珏桦"</f>
        <v>李珏桦</v>
      </c>
      <c r="E1581" s="4" t="str">
        <f t="shared" si="150"/>
        <v>女</v>
      </c>
    </row>
    <row r="1582" customHeight="1" spans="1:5">
      <c r="A1582" s="4">
        <v>1580</v>
      </c>
      <c r="B1582" s="4" t="str">
        <f>"431720220809231319239122"</f>
        <v>431720220809231319239122</v>
      </c>
      <c r="C1582" s="5" t="s">
        <v>18</v>
      </c>
      <c r="D1582" s="4" t="str">
        <f>"林冰芳"</f>
        <v>林冰芳</v>
      </c>
      <c r="E1582" s="4" t="str">
        <f t="shared" si="150"/>
        <v>女</v>
      </c>
    </row>
    <row r="1583" customHeight="1" spans="1:5">
      <c r="A1583" s="4">
        <v>1581</v>
      </c>
      <c r="B1583" s="4" t="str">
        <f>"431720220810085807239381"</f>
        <v>431720220810085807239381</v>
      </c>
      <c r="C1583" s="5" t="s">
        <v>18</v>
      </c>
      <c r="D1583" s="4" t="str">
        <f>"吕晓珊"</f>
        <v>吕晓珊</v>
      </c>
      <c r="E1583" s="4" t="str">
        <f t="shared" si="150"/>
        <v>女</v>
      </c>
    </row>
    <row r="1584" customHeight="1" spans="1:5">
      <c r="A1584" s="4">
        <v>1582</v>
      </c>
      <c r="B1584" s="4" t="str">
        <f>"431720220810102302239717"</f>
        <v>431720220810102302239717</v>
      </c>
      <c r="C1584" s="5" t="s">
        <v>18</v>
      </c>
      <c r="D1584" s="4" t="str">
        <f>"林晓娜"</f>
        <v>林晓娜</v>
      </c>
      <c r="E1584" s="4" t="str">
        <f t="shared" si="150"/>
        <v>女</v>
      </c>
    </row>
    <row r="1585" customHeight="1" spans="1:5">
      <c r="A1585" s="4">
        <v>1583</v>
      </c>
      <c r="B1585" s="4" t="str">
        <f>"431720220810104703239815"</f>
        <v>431720220810104703239815</v>
      </c>
      <c r="C1585" s="5" t="s">
        <v>18</v>
      </c>
      <c r="D1585" s="4" t="str">
        <f>"唐杨柳"</f>
        <v>唐杨柳</v>
      </c>
      <c r="E1585" s="4" t="str">
        <f t="shared" si="150"/>
        <v>女</v>
      </c>
    </row>
    <row r="1586" customHeight="1" spans="1:5">
      <c r="A1586" s="4">
        <v>1584</v>
      </c>
      <c r="B1586" s="4" t="str">
        <f>"431720220810115544240000"</f>
        <v>431720220810115544240000</v>
      </c>
      <c r="C1586" s="5" t="s">
        <v>18</v>
      </c>
      <c r="D1586" s="4" t="str">
        <f>"符小娜"</f>
        <v>符小娜</v>
      </c>
      <c r="E1586" s="4" t="str">
        <f t="shared" si="150"/>
        <v>女</v>
      </c>
    </row>
    <row r="1587" customHeight="1" spans="1:5">
      <c r="A1587" s="4">
        <v>1585</v>
      </c>
      <c r="B1587" s="4" t="str">
        <f>"431720220810115650240004"</f>
        <v>431720220810115650240004</v>
      </c>
      <c r="C1587" s="5" t="s">
        <v>18</v>
      </c>
      <c r="D1587" s="4" t="str">
        <f>"朱智美"</f>
        <v>朱智美</v>
      </c>
      <c r="E1587" s="4" t="str">
        <f t="shared" si="150"/>
        <v>女</v>
      </c>
    </row>
    <row r="1588" customHeight="1" spans="1:5">
      <c r="A1588" s="4">
        <v>1586</v>
      </c>
      <c r="B1588" s="4" t="str">
        <f>"431720220810141347240330"</f>
        <v>431720220810141347240330</v>
      </c>
      <c r="C1588" s="5" t="s">
        <v>18</v>
      </c>
      <c r="D1588" s="4" t="str">
        <f>"吴亚琴"</f>
        <v>吴亚琴</v>
      </c>
      <c r="E1588" s="4" t="str">
        <f t="shared" si="150"/>
        <v>女</v>
      </c>
    </row>
    <row r="1589" customHeight="1" spans="1:5">
      <c r="A1589" s="4">
        <v>1587</v>
      </c>
      <c r="B1589" s="4" t="str">
        <f>"431720220810143600240374"</f>
        <v>431720220810143600240374</v>
      </c>
      <c r="C1589" s="5" t="s">
        <v>18</v>
      </c>
      <c r="D1589" s="4" t="str">
        <f>"陈静怡"</f>
        <v>陈静怡</v>
      </c>
      <c r="E1589" s="4" t="str">
        <f t="shared" si="150"/>
        <v>女</v>
      </c>
    </row>
    <row r="1590" customHeight="1" spans="1:5">
      <c r="A1590" s="4">
        <v>1588</v>
      </c>
      <c r="B1590" s="4" t="str">
        <f>"431720220810155125240639"</f>
        <v>431720220810155125240639</v>
      </c>
      <c r="C1590" s="5" t="s">
        <v>18</v>
      </c>
      <c r="D1590" s="4" t="str">
        <f>"何秋兰"</f>
        <v>何秋兰</v>
      </c>
      <c r="E1590" s="4" t="str">
        <f t="shared" si="150"/>
        <v>女</v>
      </c>
    </row>
    <row r="1591" customHeight="1" spans="1:5">
      <c r="A1591" s="4">
        <v>1589</v>
      </c>
      <c r="B1591" s="4" t="str">
        <f>"431720220810205217241385"</f>
        <v>431720220810205217241385</v>
      </c>
      <c r="C1591" s="5" t="s">
        <v>18</v>
      </c>
      <c r="D1591" s="4" t="str">
        <f>"周艳"</f>
        <v>周艳</v>
      </c>
      <c r="E1591" s="4" t="str">
        <f t="shared" si="150"/>
        <v>女</v>
      </c>
    </row>
    <row r="1592" customHeight="1" spans="1:5">
      <c r="A1592" s="4">
        <v>1590</v>
      </c>
      <c r="B1592" s="4" t="str">
        <f>"431720220810225336241681"</f>
        <v>431720220810225336241681</v>
      </c>
      <c r="C1592" s="5" t="s">
        <v>18</v>
      </c>
      <c r="D1592" s="4" t="str">
        <f>"石秀慧"</f>
        <v>石秀慧</v>
      </c>
      <c r="E1592" s="4" t="str">
        <f t="shared" si="150"/>
        <v>女</v>
      </c>
    </row>
    <row r="1593" customHeight="1" spans="1:5">
      <c r="A1593" s="4">
        <v>1591</v>
      </c>
      <c r="B1593" s="4" t="str">
        <f>"431720220810230109241687"</f>
        <v>431720220810230109241687</v>
      </c>
      <c r="C1593" s="5" t="s">
        <v>18</v>
      </c>
      <c r="D1593" s="4" t="str">
        <f>"谢爱娜"</f>
        <v>谢爱娜</v>
      </c>
      <c r="E1593" s="4" t="str">
        <f t="shared" si="150"/>
        <v>女</v>
      </c>
    </row>
    <row r="1594" customHeight="1" spans="1:5">
      <c r="A1594" s="4">
        <v>1592</v>
      </c>
      <c r="B1594" s="4" t="str">
        <f>"431720220811101122242257"</f>
        <v>431720220811101122242257</v>
      </c>
      <c r="C1594" s="5" t="s">
        <v>18</v>
      </c>
      <c r="D1594" s="4" t="str">
        <f>"吴小英"</f>
        <v>吴小英</v>
      </c>
      <c r="E1594" s="4" t="str">
        <f t="shared" si="150"/>
        <v>女</v>
      </c>
    </row>
    <row r="1595" customHeight="1" spans="1:5">
      <c r="A1595" s="4">
        <v>1593</v>
      </c>
      <c r="B1595" s="4" t="str">
        <f>"431720220811103709242345"</f>
        <v>431720220811103709242345</v>
      </c>
      <c r="C1595" s="5" t="s">
        <v>18</v>
      </c>
      <c r="D1595" s="4" t="str">
        <f>"吕精妹"</f>
        <v>吕精妹</v>
      </c>
      <c r="E1595" s="4" t="str">
        <f t="shared" si="150"/>
        <v>女</v>
      </c>
    </row>
    <row r="1596" customHeight="1" spans="1:5">
      <c r="A1596" s="4">
        <v>1594</v>
      </c>
      <c r="B1596" s="4" t="str">
        <f>"431720220811104135242358"</f>
        <v>431720220811104135242358</v>
      </c>
      <c r="C1596" s="5" t="s">
        <v>18</v>
      </c>
      <c r="D1596" s="4" t="str">
        <f>"张华"</f>
        <v>张华</v>
      </c>
      <c r="E1596" s="4" t="str">
        <f t="shared" si="150"/>
        <v>女</v>
      </c>
    </row>
    <row r="1597" customHeight="1" spans="1:5">
      <c r="A1597" s="4">
        <v>1595</v>
      </c>
      <c r="B1597" s="4" t="str">
        <f>"431720220811104752242379"</f>
        <v>431720220811104752242379</v>
      </c>
      <c r="C1597" s="5" t="s">
        <v>18</v>
      </c>
      <c r="D1597" s="4" t="str">
        <f>"洪水兰"</f>
        <v>洪水兰</v>
      </c>
      <c r="E1597" s="4" t="str">
        <f t="shared" si="150"/>
        <v>女</v>
      </c>
    </row>
    <row r="1598" customHeight="1" spans="1:5">
      <c r="A1598" s="4">
        <v>1596</v>
      </c>
      <c r="B1598" s="4" t="str">
        <f>"431720220811115125242557"</f>
        <v>431720220811115125242557</v>
      </c>
      <c r="C1598" s="5" t="s">
        <v>18</v>
      </c>
      <c r="D1598" s="4" t="str">
        <f>"陈青意"</f>
        <v>陈青意</v>
      </c>
      <c r="E1598" s="4" t="str">
        <f t="shared" si="150"/>
        <v>女</v>
      </c>
    </row>
    <row r="1599" customHeight="1" spans="1:5">
      <c r="A1599" s="4">
        <v>1597</v>
      </c>
      <c r="B1599" s="4" t="str">
        <f>"431720220811125809242751"</f>
        <v>431720220811125809242751</v>
      </c>
      <c r="C1599" s="5" t="s">
        <v>18</v>
      </c>
      <c r="D1599" s="4" t="str">
        <f>"符丽纳"</f>
        <v>符丽纳</v>
      </c>
      <c r="E1599" s="4" t="str">
        <f t="shared" si="150"/>
        <v>女</v>
      </c>
    </row>
    <row r="1600" customHeight="1" spans="1:5">
      <c r="A1600" s="4">
        <v>1598</v>
      </c>
      <c r="B1600" s="4" t="str">
        <f>"431720220811143211242984"</f>
        <v>431720220811143211242984</v>
      </c>
      <c r="C1600" s="5" t="s">
        <v>18</v>
      </c>
      <c r="D1600" s="4" t="str">
        <f>"唐梦菊"</f>
        <v>唐梦菊</v>
      </c>
      <c r="E1600" s="4" t="str">
        <f t="shared" si="150"/>
        <v>女</v>
      </c>
    </row>
    <row r="1601" customHeight="1" spans="1:5">
      <c r="A1601" s="4">
        <v>1599</v>
      </c>
      <c r="B1601" s="4" t="str">
        <f>"431720220811145705243071"</f>
        <v>431720220811145705243071</v>
      </c>
      <c r="C1601" s="5" t="s">
        <v>18</v>
      </c>
      <c r="D1601" s="4" t="str">
        <f>"邢曾敏"</f>
        <v>邢曾敏</v>
      </c>
      <c r="E1601" s="4" t="str">
        <f t="shared" si="150"/>
        <v>女</v>
      </c>
    </row>
    <row r="1602" customHeight="1" spans="1:5">
      <c r="A1602" s="4">
        <v>1600</v>
      </c>
      <c r="B1602" s="4" t="str">
        <f>"431720220811155649243265"</f>
        <v>431720220811155649243265</v>
      </c>
      <c r="C1602" s="5" t="s">
        <v>18</v>
      </c>
      <c r="D1602" s="4" t="str">
        <f>"柏国燕"</f>
        <v>柏国燕</v>
      </c>
      <c r="E1602" s="4" t="str">
        <f t="shared" si="150"/>
        <v>女</v>
      </c>
    </row>
    <row r="1603" customHeight="1" spans="1:5">
      <c r="A1603" s="4">
        <v>1601</v>
      </c>
      <c r="B1603" s="4" t="str">
        <f>"431720220811170258243465"</f>
        <v>431720220811170258243465</v>
      </c>
      <c r="C1603" s="5" t="s">
        <v>18</v>
      </c>
      <c r="D1603" s="4" t="str">
        <f>"羊昆妮"</f>
        <v>羊昆妮</v>
      </c>
      <c r="E1603" s="4" t="str">
        <f t="shared" si="150"/>
        <v>女</v>
      </c>
    </row>
    <row r="1604" customHeight="1" spans="1:5">
      <c r="A1604" s="4">
        <v>1602</v>
      </c>
      <c r="B1604" s="4" t="str">
        <f>"431720220811171343243488"</f>
        <v>431720220811171343243488</v>
      </c>
      <c r="C1604" s="5" t="s">
        <v>18</v>
      </c>
      <c r="D1604" s="4" t="str">
        <f>"胡丽金"</f>
        <v>胡丽金</v>
      </c>
      <c r="E1604" s="4" t="str">
        <f t="shared" si="150"/>
        <v>女</v>
      </c>
    </row>
    <row r="1605" customHeight="1" spans="1:5">
      <c r="A1605" s="4">
        <v>1603</v>
      </c>
      <c r="B1605" s="4" t="str">
        <f>"431720220811181445243536"</f>
        <v>431720220811181445243536</v>
      </c>
      <c r="C1605" s="5" t="s">
        <v>18</v>
      </c>
      <c r="D1605" s="4" t="str">
        <f>"陆丹虹"</f>
        <v>陆丹虹</v>
      </c>
      <c r="E1605" s="4" t="str">
        <f t="shared" si="150"/>
        <v>女</v>
      </c>
    </row>
    <row r="1606" customHeight="1" spans="1:5">
      <c r="A1606" s="4">
        <v>1604</v>
      </c>
      <c r="B1606" s="4" t="str">
        <f>"431720220811193925243580"</f>
        <v>431720220811193925243580</v>
      </c>
      <c r="C1606" s="5" t="s">
        <v>18</v>
      </c>
      <c r="D1606" s="4" t="str">
        <f>"姚颖"</f>
        <v>姚颖</v>
      </c>
      <c r="E1606" s="4" t="str">
        <f t="shared" si="150"/>
        <v>女</v>
      </c>
    </row>
    <row r="1607" customHeight="1" spans="1:5">
      <c r="A1607" s="4">
        <v>1605</v>
      </c>
      <c r="B1607" s="4" t="str">
        <f>"431720220811201140243599"</f>
        <v>431720220811201140243599</v>
      </c>
      <c r="C1607" s="5" t="s">
        <v>18</v>
      </c>
      <c r="D1607" s="4" t="str">
        <f>"王小美"</f>
        <v>王小美</v>
      </c>
      <c r="E1607" s="4" t="str">
        <f t="shared" si="150"/>
        <v>女</v>
      </c>
    </row>
    <row r="1608" customHeight="1" spans="1:5">
      <c r="A1608" s="4">
        <v>1606</v>
      </c>
      <c r="B1608" s="4" t="str">
        <f>"431720220811214406243649"</f>
        <v>431720220811214406243649</v>
      </c>
      <c r="C1608" s="5" t="s">
        <v>18</v>
      </c>
      <c r="D1608" s="4" t="str">
        <f>"文海婷"</f>
        <v>文海婷</v>
      </c>
      <c r="E1608" s="4" t="str">
        <f t="shared" si="150"/>
        <v>女</v>
      </c>
    </row>
    <row r="1609" customHeight="1" spans="1:5">
      <c r="A1609" s="4">
        <v>1607</v>
      </c>
      <c r="B1609" s="4" t="str">
        <f>"431720220811215521243658"</f>
        <v>431720220811215521243658</v>
      </c>
      <c r="C1609" s="5" t="s">
        <v>18</v>
      </c>
      <c r="D1609" s="4" t="str">
        <f>"谢瑞雪"</f>
        <v>谢瑞雪</v>
      </c>
      <c r="E1609" s="4" t="str">
        <f t="shared" si="150"/>
        <v>女</v>
      </c>
    </row>
    <row r="1610" customHeight="1" spans="1:5">
      <c r="A1610" s="4">
        <v>1608</v>
      </c>
      <c r="B1610" s="4" t="str">
        <f>"431720220811222142243676"</f>
        <v>431720220811222142243676</v>
      </c>
      <c r="C1610" s="5" t="s">
        <v>18</v>
      </c>
      <c r="D1610" s="4" t="str">
        <f>"吴艳萍"</f>
        <v>吴艳萍</v>
      </c>
      <c r="E1610" s="4" t="str">
        <f t="shared" si="150"/>
        <v>女</v>
      </c>
    </row>
    <row r="1611" customHeight="1" spans="1:5">
      <c r="A1611" s="4">
        <v>1609</v>
      </c>
      <c r="B1611" s="4" t="str">
        <f>"431720220811222320243678"</f>
        <v>431720220811222320243678</v>
      </c>
      <c r="C1611" s="5" t="s">
        <v>18</v>
      </c>
      <c r="D1611" s="4" t="str">
        <f>"曾麟"</f>
        <v>曾麟</v>
      </c>
      <c r="E1611" s="4" t="str">
        <f>"男"</f>
        <v>男</v>
      </c>
    </row>
    <row r="1612" customHeight="1" spans="1:5">
      <c r="A1612" s="4">
        <v>1610</v>
      </c>
      <c r="B1612" s="4" t="str">
        <f>"431720220811232556243711"</f>
        <v>431720220811232556243711</v>
      </c>
      <c r="C1612" s="5" t="s">
        <v>18</v>
      </c>
      <c r="D1612" s="4" t="str">
        <f>"唐蔚蔚"</f>
        <v>唐蔚蔚</v>
      </c>
      <c r="E1612" s="4" t="str">
        <f t="shared" ref="E1612:E1627" si="151">"女"</f>
        <v>女</v>
      </c>
    </row>
    <row r="1613" customHeight="1" spans="1:5">
      <c r="A1613" s="4">
        <v>1611</v>
      </c>
      <c r="B1613" s="4" t="str">
        <f>"431720220811234858243725"</f>
        <v>431720220811234858243725</v>
      </c>
      <c r="C1613" s="5" t="s">
        <v>18</v>
      </c>
      <c r="D1613" s="4" t="str">
        <f>"黎凤丹"</f>
        <v>黎凤丹</v>
      </c>
      <c r="E1613" s="4" t="str">
        <f t="shared" si="151"/>
        <v>女</v>
      </c>
    </row>
    <row r="1614" customHeight="1" spans="1:5">
      <c r="A1614" s="4">
        <v>1612</v>
      </c>
      <c r="B1614" s="4" t="str">
        <f>"431720220812000430243738"</f>
        <v>431720220812000430243738</v>
      </c>
      <c r="C1614" s="5" t="s">
        <v>18</v>
      </c>
      <c r="D1614" s="4" t="str">
        <f>"唐琳玲"</f>
        <v>唐琳玲</v>
      </c>
      <c r="E1614" s="4" t="str">
        <f t="shared" si="151"/>
        <v>女</v>
      </c>
    </row>
    <row r="1615" customHeight="1" spans="1:5">
      <c r="A1615" s="4">
        <v>1613</v>
      </c>
      <c r="B1615" s="4" t="str">
        <f>"431720220812000913243740"</f>
        <v>431720220812000913243740</v>
      </c>
      <c r="C1615" s="5" t="s">
        <v>18</v>
      </c>
      <c r="D1615" s="4" t="str">
        <f>"吴媛媛"</f>
        <v>吴媛媛</v>
      </c>
      <c r="E1615" s="4" t="str">
        <f t="shared" si="151"/>
        <v>女</v>
      </c>
    </row>
    <row r="1616" customHeight="1" spans="1:5">
      <c r="A1616" s="4">
        <v>1614</v>
      </c>
      <c r="B1616" s="4" t="str">
        <f>"431720220812075150243776"</f>
        <v>431720220812075150243776</v>
      </c>
      <c r="C1616" s="5" t="s">
        <v>18</v>
      </c>
      <c r="D1616" s="4" t="str">
        <f>"黄乙玲"</f>
        <v>黄乙玲</v>
      </c>
      <c r="E1616" s="4" t="str">
        <f t="shared" si="151"/>
        <v>女</v>
      </c>
    </row>
    <row r="1617" customHeight="1" spans="1:5">
      <c r="A1617" s="4">
        <v>1615</v>
      </c>
      <c r="B1617" s="4" t="str">
        <f>"431720220812094344243896"</f>
        <v>431720220812094344243896</v>
      </c>
      <c r="C1617" s="5" t="s">
        <v>18</v>
      </c>
      <c r="D1617" s="4" t="str">
        <f>"王愉"</f>
        <v>王愉</v>
      </c>
      <c r="E1617" s="4" t="str">
        <f t="shared" si="151"/>
        <v>女</v>
      </c>
    </row>
    <row r="1618" customHeight="1" spans="1:5">
      <c r="A1618" s="4">
        <v>1616</v>
      </c>
      <c r="B1618" s="4" t="str">
        <f>"431720220812095530243923"</f>
        <v>431720220812095530243923</v>
      </c>
      <c r="C1618" s="5" t="s">
        <v>18</v>
      </c>
      <c r="D1618" s="4" t="str">
        <f>"杨婷"</f>
        <v>杨婷</v>
      </c>
      <c r="E1618" s="4" t="str">
        <f t="shared" si="151"/>
        <v>女</v>
      </c>
    </row>
    <row r="1619" customHeight="1" spans="1:5">
      <c r="A1619" s="4">
        <v>1617</v>
      </c>
      <c r="B1619" s="4" t="str">
        <f>"431720220812095849243931"</f>
        <v>431720220812095849243931</v>
      </c>
      <c r="C1619" s="5" t="s">
        <v>18</v>
      </c>
      <c r="D1619" s="4" t="str">
        <f>"陈金丹"</f>
        <v>陈金丹</v>
      </c>
      <c r="E1619" s="4" t="str">
        <f t="shared" si="151"/>
        <v>女</v>
      </c>
    </row>
    <row r="1620" customHeight="1" spans="1:5">
      <c r="A1620" s="4">
        <v>1618</v>
      </c>
      <c r="B1620" s="4" t="str">
        <f>"431720220812123053244182"</f>
        <v>431720220812123053244182</v>
      </c>
      <c r="C1620" s="5" t="s">
        <v>18</v>
      </c>
      <c r="D1620" s="4" t="str">
        <f>"陈少宛"</f>
        <v>陈少宛</v>
      </c>
      <c r="E1620" s="4" t="str">
        <f t="shared" si="151"/>
        <v>女</v>
      </c>
    </row>
    <row r="1621" customHeight="1" spans="1:5">
      <c r="A1621" s="4">
        <v>1619</v>
      </c>
      <c r="B1621" s="4" t="str">
        <f>"431720220812132647244247"</f>
        <v>431720220812132647244247</v>
      </c>
      <c r="C1621" s="5" t="s">
        <v>18</v>
      </c>
      <c r="D1621" s="4" t="str">
        <f>"朱奕兰"</f>
        <v>朱奕兰</v>
      </c>
      <c r="E1621" s="4" t="str">
        <f t="shared" si="151"/>
        <v>女</v>
      </c>
    </row>
    <row r="1622" customHeight="1" spans="1:5">
      <c r="A1622" s="4">
        <v>1620</v>
      </c>
      <c r="B1622" s="4" t="str">
        <f>"431720220812133611244254"</f>
        <v>431720220812133611244254</v>
      </c>
      <c r="C1622" s="5" t="s">
        <v>18</v>
      </c>
      <c r="D1622" s="4" t="str">
        <f>"符莹莹"</f>
        <v>符莹莹</v>
      </c>
      <c r="E1622" s="4" t="str">
        <f t="shared" si="151"/>
        <v>女</v>
      </c>
    </row>
    <row r="1623" customHeight="1" spans="1:5">
      <c r="A1623" s="4">
        <v>1621</v>
      </c>
      <c r="B1623" s="4" t="str">
        <f>"431720220812142254244295"</f>
        <v>431720220812142254244295</v>
      </c>
      <c r="C1623" s="5" t="s">
        <v>18</v>
      </c>
      <c r="D1623" s="4" t="str">
        <f>"孔婉茹"</f>
        <v>孔婉茹</v>
      </c>
      <c r="E1623" s="4" t="str">
        <f t="shared" si="151"/>
        <v>女</v>
      </c>
    </row>
    <row r="1624" customHeight="1" spans="1:5">
      <c r="A1624" s="4">
        <v>1622</v>
      </c>
      <c r="B1624" s="4" t="str">
        <f>"431720220812143024244306"</f>
        <v>431720220812143024244306</v>
      </c>
      <c r="C1624" s="5" t="s">
        <v>18</v>
      </c>
      <c r="D1624" s="4" t="str">
        <f>"李玉婷"</f>
        <v>李玉婷</v>
      </c>
      <c r="E1624" s="4" t="str">
        <f t="shared" si="151"/>
        <v>女</v>
      </c>
    </row>
    <row r="1625" customHeight="1" spans="1:5">
      <c r="A1625" s="4">
        <v>1623</v>
      </c>
      <c r="B1625" s="4" t="str">
        <f>"431720220812150343244338"</f>
        <v>431720220812150343244338</v>
      </c>
      <c r="C1625" s="5" t="s">
        <v>18</v>
      </c>
      <c r="D1625" s="4" t="str">
        <f>"许露娜"</f>
        <v>许露娜</v>
      </c>
      <c r="E1625" s="4" t="str">
        <f t="shared" si="151"/>
        <v>女</v>
      </c>
    </row>
    <row r="1626" customHeight="1" spans="1:5">
      <c r="A1626" s="4">
        <v>1624</v>
      </c>
      <c r="B1626" s="4" t="str">
        <f>"431720220812153344244387"</f>
        <v>431720220812153344244387</v>
      </c>
      <c r="C1626" s="5" t="s">
        <v>18</v>
      </c>
      <c r="D1626" s="4" t="str">
        <f>"倪娇娇"</f>
        <v>倪娇娇</v>
      </c>
      <c r="E1626" s="4" t="str">
        <f t="shared" si="151"/>
        <v>女</v>
      </c>
    </row>
    <row r="1627" customHeight="1" spans="1:5">
      <c r="A1627" s="4">
        <v>1625</v>
      </c>
      <c r="B1627" s="4" t="str">
        <f>"431720220812154828244414"</f>
        <v>431720220812154828244414</v>
      </c>
      <c r="C1627" s="5" t="s">
        <v>18</v>
      </c>
      <c r="D1627" s="4" t="str">
        <f>"陈玉玲"</f>
        <v>陈玉玲</v>
      </c>
      <c r="E1627" s="4" t="str">
        <f t="shared" si="151"/>
        <v>女</v>
      </c>
    </row>
    <row r="1628" customHeight="1" spans="1:5">
      <c r="A1628" s="4">
        <v>1626</v>
      </c>
      <c r="B1628" s="4" t="str">
        <f>"431720220812162322244460"</f>
        <v>431720220812162322244460</v>
      </c>
      <c r="C1628" s="5" t="s">
        <v>18</v>
      </c>
      <c r="D1628" s="4" t="str">
        <f>"许毅光"</f>
        <v>许毅光</v>
      </c>
      <c r="E1628" s="4" t="str">
        <f t="shared" ref="E1628:E1634" si="152">"男"</f>
        <v>男</v>
      </c>
    </row>
    <row r="1629" customHeight="1" spans="1:5">
      <c r="A1629" s="4">
        <v>1627</v>
      </c>
      <c r="B1629" s="4" t="str">
        <f>"431720220812162350244461"</f>
        <v>431720220812162350244461</v>
      </c>
      <c r="C1629" s="5" t="s">
        <v>18</v>
      </c>
      <c r="D1629" s="4" t="str">
        <f>"莫青云"</f>
        <v>莫青云</v>
      </c>
      <c r="E1629" s="4" t="str">
        <f>"女"</f>
        <v>女</v>
      </c>
    </row>
    <row r="1630" customHeight="1" spans="1:5">
      <c r="A1630" s="4">
        <v>1628</v>
      </c>
      <c r="B1630" s="4" t="str">
        <f>"431720220806091452231223"</f>
        <v>431720220806091452231223</v>
      </c>
      <c r="C1630" s="5" t="s">
        <v>19</v>
      </c>
      <c r="D1630" s="4" t="str">
        <f>"张紫鑫"</f>
        <v>张紫鑫</v>
      </c>
      <c r="E1630" s="4" t="str">
        <f t="shared" si="152"/>
        <v>男</v>
      </c>
    </row>
    <row r="1631" customHeight="1" spans="1:5">
      <c r="A1631" s="4">
        <v>1629</v>
      </c>
      <c r="B1631" s="4" t="str">
        <f>"431720220806100219231385"</f>
        <v>431720220806100219231385</v>
      </c>
      <c r="C1631" s="5" t="s">
        <v>19</v>
      </c>
      <c r="D1631" s="4" t="str">
        <f>"林霞"</f>
        <v>林霞</v>
      </c>
      <c r="E1631" s="4" t="str">
        <f>"女"</f>
        <v>女</v>
      </c>
    </row>
    <row r="1632" customHeight="1" spans="1:5">
      <c r="A1632" s="4">
        <v>1630</v>
      </c>
      <c r="B1632" s="4" t="str">
        <f>"431720220806102857231463"</f>
        <v>431720220806102857231463</v>
      </c>
      <c r="C1632" s="5" t="s">
        <v>19</v>
      </c>
      <c r="D1632" s="4" t="str">
        <f>"符克巩"</f>
        <v>符克巩</v>
      </c>
      <c r="E1632" s="4" t="str">
        <f t="shared" si="152"/>
        <v>男</v>
      </c>
    </row>
    <row r="1633" customHeight="1" spans="1:5">
      <c r="A1633" s="4">
        <v>1631</v>
      </c>
      <c r="B1633" s="4" t="str">
        <f>"431720220806103255231482"</f>
        <v>431720220806103255231482</v>
      </c>
      <c r="C1633" s="5" t="s">
        <v>19</v>
      </c>
      <c r="D1633" s="4" t="str">
        <f>"倪德斌"</f>
        <v>倪德斌</v>
      </c>
      <c r="E1633" s="4" t="str">
        <f t="shared" si="152"/>
        <v>男</v>
      </c>
    </row>
    <row r="1634" customHeight="1" spans="1:5">
      <c r="A1634" s="4">
        <v>1632</v>
      </c>
      <c r="B1634" s="4" t="str">
        <f>"431720220806112420231646"</f>
        <v>431720220806112420231646</v>
      </c>
      <c r="C1634" s="5" t="s">
        <v>19</v>
      </c>
      <c r="D1634" s="4" t="str">
        <f>"蔡兴望"</f>
        <v>蔡兴望</v>
      </c>
      <c r="E1634" s="4" t="str">
        <f t="shared" si="152"/>
        <v>男</v>
      </c>
    </row>
    <row r="1635" customHeight="1" spans="1:5">
      <c r="A1635" s="4">
        <v>1633</v>
      </c>
      <c r="B1635" s="4" t="str">
        <f>"431720220806131521231960"</f>
        <v>431720220806131521231960</v>
      </c>
      <c r="C1635" s="5" t="s">
        <v>19</v>
      </c>
      <c r="D1635" s="4" t="str">
        <f>"吴春艳"</f>
        <v>吴春艳</v>
      </c>
      <c r="E1635" s="4" t="str">
        <f>"女"</f>
        <v>女</v>
      </c>
    </row>
    <row r="1636" customHeight="1" spans="1:5">
      <c r="A1636" s="4">
        <v>1634</v>
      </c>
      <c r="B1636" s="4" t="str">
        <f>"431720220806150030232181"</f>
        <v>431720220806150030232181</v>
      </c>
      <c r="C1636" s="5" t="s">
        <v>19</v>
      </c>
      <c r="D1636" s="4" t="str">
        <f>"李运恒"</f>
        <v>李运恒</v>
      </c>
      <c r="E1636" s="4" t="str">
        <f t="shared" ref="E1636:E1641" si="153">"男"</f>
        <v>男</v>
      </c>
    </row>
    <row r="1637" customHeight="1" spans="1:5">
      <c r="A1637" s="4">
        <v>1635</v>
      </c>
      <c r="B1637" s="4" t="str">
        <f>"431720220806172443232475"</f>
        <v>431720220806172443232475</v>
      </c>
      <c r="C1637" s="5" t="s">
        <v>19</v>
      </c>
      <c r="D1637" s="4" t="str">
        <f>"闵颖"</f>
        <v>闵颖</v>
      </c>
      <c r="E1637" s="4" t="str">
        <f t="shared" si="153"/>
        <v>男</v>
      </c>
    </row>
    <row r="1638" customHeight="1" spans="1:5">
      <c r="A1638" s="4">
        <v>1636</v>
      </c>
      <c r="B1638" s="4" t="str">
        <f>"431720220807093532232971"</f>
        <v>431720220807093532232971</v>
      </c>
      <c r="C1638" s="5" t="s">
        <v>19</v>
      </c>
      <c r="D1638" s="4" t="str">
        <f>"南杨"</f>
        <v>南杨</v>
      </c>
      <c r="E1638" s="4" t="str">
        <f t="shared" si="153"/>
        <v>男</v>
      </c>
    </row>
    <row r="1639" customHeight="1" spans="1:5">
      <c r="A1639" s="4">
        <v>1637</v>
      </c>
      <c r="B1639" s="4" t="str">
        <f>"431720220807164751233417"</f>
        <v>431720220807164751233417</v>
      </c>
      <c r="C1639" s="5" t="s">
        <v>19</v>
      </c>
      <c r="D1639" s="4" t="str">
        <f>"黄光诚"</f>
        <v>黄光诚</v>
      </c>
      <c r="E1639" s="4" t="str">
        <f t="shared" si="153"/>
        <v>男</v>
      </c>
    </row>
    <row r="1640" customHeight="1" spans="1:5">
      <c r="A1640" s="4">
        <v>1638</v>
      </c>
      <c r="B1640" s="4" t="str">
        <f>"431720220807173659233463"</f>
        <v>431720220807173659233463</v>
      </c>
      <c r="C1640" s="5" t="s">
        <v>19</v>
      </c>
      <c r="D1640" s="4" t="str">
        <f>"符大鹏"</f>
        <v>符大鹏</v>
      </c>
      <c r="E1640" s="4" t="str">
        <f t="shared" si="153"/>
        <v>男</v>
      </c>
    </row>
    <row r="1641" customHeight="1" spans="1:5">
      <c r="A1641" s="4">
        <v>1639</v>
      </c>
      <c r="B1641" s="4" t="str">
        <f>"431720220807202143233557"</f>
        <v>431720220807202143233557</v>
      </c>
      <c r="C1641" s="5" t="s">
        <v>19</v>
      </c>
      <c r="D1641" s="4" t="str">
        <f>"陈怀超"</f>
        <v>陈怀超</v>
      </c>
      <c r="E1641" s="4" t="str">
        <f t="shared" si="153"/>
        <v>男</v>
      </c>
    </row>
    <row r="1642" customHeight="1" spans="1:5">
      <c r="A1642" s="4">
        <v>1640</v>
      </c>
      <c r="B1642" s="4" t="str">
        <f>"431720220808095021234381"</f>
        <v>431720220808095021234381</v>
      </c>
      <c r="C1642" s="5" t="s">
        <v>19</v>
      </c>
      <c r="D1642" s="4" t="str">
        <f>"林子甜"</f>
        <v>林子甜</v>
      </c>
      <c r="E1642" s="4" t="str">
        <f>"女"</f>
        <v>女</v>
      </c>
    </row>
    <row r="1643" customHeight="1" spans="1:5">
      <c r="A1643" s="4">
        <v>1641</v>
      </c>
      <c r="B1643" s="4" t="str">
        <f>"431720220808172214236074"</f>
        <v>431720220808172214236074</v>
      </c>
      <c r="C1643" s="5" t="s">
        <v>19</v>
      </c>
      <c r="D1643" s="4" t="str">
        <f>"石造"</f>
        <v>石造</v>
      </c>
      <c r="E1643" s="4" t="str">
        <f t="shared" ref="E1643:E1646" si="154">"男"</f>
        <v>男</v>
      </c>
    </row>
    <row r="1644" customHeight="1" spans="1:5">
      <c r="A1644" s="4">
        <v>1642</v>
      </c>
      <c r="B1644" s="4" t="str">
        <f>"431720220808180828236195"</f>
        <v>431720220808180828236195</v>
      </c>
      <c r="C1644" s="5" t="s">
        <v>19</v>
      </c>
      <c r="D1644" s="4" t="str">
        <f>"孙凡彦"</f>
        <v>孙凡彦</v>
      </c>
      <c r="E1644" s="4" t="str">
        <f t="shared" si="154"/>
        <v>男</v>
      </c>
    </row>
    <row r="1645" customHeight="1" spans="1:5">
      <c r="A1645" s="4">
        <v>1643</v>
      </c>
      <c r="B1645" s="4" t="str">
        <f>"431720220808185252236305"</f>
        <v>431720220808185252236305</v>
      </c>
      <c r="C1645" s="5" t="s">
        <v>19</v>
      </c>
      <c r="D1645" s="4" t="str">
        <f>"何纯宝"</f>
        <v>何纯宝</v>
      </c>
      <c r="E1645" s="4" t="str">
        <f t="shared" si="154"/>
        <v>男</v>
      </c>
    </row>
    <row r="1646" customHeight="1" spans="1:5">
      <c r="A1646" s="4">
        <v>1644</v>
      </c>
      <c r="B1646" s="4" t="str">
        <f>"431720220809115613237712"</f>
        <v>431720220809115613237712</v>
      </c>
      <c r="C1646" s="5" t="s">
        <v>19</v>
      </c>
      <c r="D1646" s="4" t="str">
        <f>"张霖"</f>
        <v>张霖</v>
      </c>
      <c r="E1646" s="4" t="str">
        <f t="shared" si="154"/>
        <v>男</v>
      </c>
    </row>
    <row r="1647" customHeight="1" spans="1:5">
      <c r="A1647" s="4">
        <v>1645</v>
      </c>
      <c r="B1647" s="4" t="str">
        <f>"431720220810095102239588"</f>
        <v>431720220810095102239588</v>
      </c>
      <c r="C1647" s="5" t="s">
        <v>19</v>
      </c>
      <c r="D1647" s="4" t="str">
        <f>"朱玉莹"</f>
        <v>朱玉莹</v>
      </c>
      <c r="E1647" s="4" t="str">
        <f>"女"</f>
        <v>女</v>
      </c>
    </row>
    <row r="1648" customHeight="1" spans="1:5">
      <c r="A1648" s="4">
        <v>1646</v>
      </c>
      <c r="B1648" s="4" t="str">
        <f>"431720220810174923240973"</f>
        <v>431720220810174923240973</v>
      </c>
      <c r="C1648" s="5" t="s">
        <v>19</v>
      </c>
      <c r="D1648" s="4" t="str">
        <f>"吴金霞"</f>
        <v>吴金霞</v>
      </c>
      <c r="E1648" s="4" t="str">
        <f>"女"</f>
        <v>女</v>
      </c>
    </row>
    <row r="1649" customHeight="1" spans="1:5">
      <c r="A1649" s="4">
        <v>1647</v>
      </c>
      <c r="B1649" s="4" t="str">
        <f>"431720220810201239241282"</f>
        <v>431720220810201239241282</v>
      </c>
      <c r="C1649" s="5" t="s">
        <v>19</v>
      </c>
      <c r="D1649" s="4" t="str">
        <f>"秦敬凯"</f>
        <v>秦敬凯</v>
      </c>
      <c r="E1649" s="4" t="str">
        <f t="shared" ref="E1649:E1652" si="155">"男"</f>
        <v>男</v>
      </c>
    </row>
    <row r="1650" customHeight="1" spans="1:5">
      <c r="A1650" s="4">
        <v>1648</v>
      </c>
      <c r="B1650" s="4" t="str">
        <f>"431720220810213633241495"</f>
        <v>431720220810213633241495</v>
      </c>
      <c r="C1650" s="5" t="s">
        <v>19</v>
      </c>
      <c r="D1650" s="4" t="str">
        <f>"韩联定"</f>
        <v>韩联定</v>
      </c>
      <c r="E1650" s="4" t="str">
        <f t="shared" si="155"/>
        <v>男</v>
      </c>
    </row>
    <row r="1651" customHeight="1" spans="1:5">
      <c r="A1651" s="4">
        <v>1649</v>
      </c>
      <c r="B1651" s="4" t="str">
        <f>"431720220811203900243616"</f>
        <v>431720220811203900243616</v>
      </c>
      <c r="C1651" s="5" t="s">
        <v>19</v>
      </c>
      <c r="D1651" s="4" t="str">
        <f>"朱荟声"</f>
        <v>朱荟声</v>
      </c>
      <c r="E1651" s="4" t="str">
        <f t="shared" si="155"/>
        <v>男</v>
      </c>
    </row>
    <row r="1652" customHeight="1" spans="1:5">
      <c r="A1652" s="4">
        <v>1650</v>
      </c>
      <c r="B1652" s="4" t="str">
        <f>"431720220811222727243684"</f>
        <v>431720220811222727243684</v>
      </c>
      <c r="C1652" s="5" t="s">
        <v>19</v>
      </c>
      <c r="D1652" s="4" t="str">
        <f>"王英柱"</f>
        <v>王英柱</v>
      </c>
      <c r="E1652" s="4" t="str">
        <f t="shared" si="155"/>
        <v>男</v>
      </c>
    </row>
    <row r="1653" customHeight="1" spans="1:5">
      <c r="A1653" s="4">
        <v>1651</v>
      </c>
      <c r="B1653" s="4" t="str">
        <f>"431720220806090119231180"</f>
        <v>431720220806090119231180</v>
      </c>
      <c r="C1653" s="5" t="s">
        <v>20</v>
      </c>
      <c r="D1653" s="4" t="str">
        <f>"罗鸿雁"</f>
        <v>罗鸿雁</v>
      </c>
      <c r="E1653" s="4" t="str">
        <f t="shared" ref="E1653:E1664" si="156">"女"</f>
        <v>女</v>
      </c>
    </row>
    <row r="1654" customHeight="1" spans="1:5">
      <c r="A1654" s="4">
        <v>1652</v>
      </c>
      <c r="B1654" s="4" t="str">
        <f>"431720220806091251231218"</f>
        <v>431720220806091251231218</v>
      </c>
      <c r="C1654" s="5" t="s">
        <v>20</v>
      </c>
      <c r="D1654" s="4" t="str">
        <f>"粟静雯"</f>
        <v>粟静雯</v>
      </c>
      <c r="E1654" s="4" t="str">
        <f t="shared" si="156"/>
        <v>女</v>
      </c>
    </row>
    <row r="1655" customHeight="1" spans="1:5">
      <c r="A1655" s="4">
        <v>1653</v>
      </c>
      <c r="B1655" s="4" t="str">
        <f>"431720220806092314231258"</f>
        <v>431720220806092314231258</v>
      </c>
      <c r="C1655" s="5" t="s">
        <v>20</v>
      </c>
      <c r="D1655" s="4" t="str">
        <f>"王雨华"</f>
        <v>王雨华</v>
      </c>
      <c r="E1655" s="4" t="str">
        <f t="shared" si="156"/>
        <v>女</v>
      </c>
    </row>
    <row r="1656" customHeight="1" spans="1:5">
      <c r="A1656" s="4">
        <v>1654</v>
      </c>
      <c r="B1656" s="4" t="str">
        <f>"431720220806101654231428"</f>
        <v>431720220806101654231428</v>
      </c>
      <c r="C1656" s="5" t="s">
        <v>20</v>
      </c>
      <c r="D1656" s="4" t="str">
        <f>"王榆景"</f>
        <v>王榆景</v>
      </c>
      <c r="E1656" s="4" t="str">
        <f t="shared" si="156"/>
        <v>女</v>
      </c>
    </row>
    <row r="1657" customHeight="1" spans="1:5">
      <c r="A1657" s="4">
        <v>1655</v>
      </c>
      <c r="B1657" s="4" t="str">
        <f>"431720220806102107231438"</f>
        <v>431720220806102107231438</v>
      </c>
      <c r="C1657" s="5" t="s">
        <v>20</v>
      </c>
      <c r="D1657" s="4" t="str">
        <f>"董玉妍"</f>
        <v>董玉妍</v>
      </c>
      <c r="E1657" s="4" t="str">
        <f t="shared" si="156"/>
        <v>女</v>
      </c>
    </row>
    <row r="1658" customHeight="1" spans="1:5">
      <c r="A1658" s="4">
        <v>1656</v>
      </c>
      <c r="B1658" s="4" t="str">
        <f>"431720220806105604231555"</f>
        <v>431720220806105604231555</v>
      </c>
      <c r="C1658" s="5" t="s">
        <v>20</v>
      </c>
      <c r="D1658" s="4" t="str">
        <f>"费腾"</f>
        <v>费腾</v>
      </c>
      <c r="E1658" s="4" t="str">
        <f t="shared" si="156"/>
        <v>女</v>
      </c>
    </row>
    <row r="1659" customHeight="1" spans="1:5">
      <c r="A1659" s="4">
        <v>1657</v>
      </c>
      <c r="B1659" s="4" t="str">
        <f>"431720220806112541231652"</f>
        <v>431720220806112541231652</v>
      </c>
      <c r="C1659" s="5" t="s">
        <v>20</v>
      </c>
      <c r="D1659" s="4" t="str">
        <f>"鲍婕"</f>
        <v>鲍婕</v>
      </c>
      <c r="E1659" s="4" t="str">
        <f t="shared" si="156"/>
        <v>女</v>
      </c>
    </row>
    <row r="1660" customHeight="1" spans="1:5">
      <c r="A1660" s="4">
        <v>1658</v>
      </c>
      <c r="B1660" s="4" t="str">
        <f>"431720220806121931231800"</f>
        <v>431720220806121931231800</v>
      </c>
      <c r="C1660" s="5" t="s">
        <v>20</v>
      </c>
      <c r="D1660" s="4" t="str">
        <f>"赵美佳"</f>
        <v>赵美佳</v>
      </c>
      <c r="E1660" s="4" t="str">
        <f t="shared" si="156"/>
        <v>女</v>
      </c>
    </row>
    <row r="1661" customHeight="1" spans="1:5">
      <c r="A1661" s="4">
        <v>1659</v>
      </c>
      <c r="B1661" s="4" t="str">
        <f>"431720220806144145232140"</f>
        <v>431720220806144145232140</v>
      </c>
      <c r="C1661" s="5" t="s">
        <v>20</v>
      </c>
      <c r="D1661" s="4" t="str">
        <f>"邓奇英"</f>
        <v>邓奇英</v>
      </c>
      <c r="E1661" s="4" t="str">
        <f t="shared" si="156"/>
        <v>女</v>
      </c>
    </row>
    <row r="1662" customHeight="1" spans="1:5">
      <c r="A1662" s="4">
        <v>1660</v>
      </c>
      <c r="B1662" s="4" t="str">
        <f>"431720220806154012232262"</f>
        <v>431720220806154012232262</v>
      </c>
      <c r="C1662" s="5" t="s">
        <v>20</v>
      </c>
      <c r="D1662" s="4" t="str">
        <f>"王惠霞"</f>
        <v>王惠霞</v>
      </c>
      <c r="E1662" s="4" t="str">
        <f t="shared" si="156"/>
        <v>女</v>
      </c>
    </row>
    <row r="1663" customHeight="1" spans="1:5">
      <c r="A1663" s="4">
        <v>1661</v>
      </c>
      <c r="B1663" s="4" t="str">
        <f>"431720220806160536232317"</f>
        <v>431720220806160536232317</v>
      </c>
      <c r="C1663" s="5" t="s">
        <v>20</v>
      </c>
      <c r="D1663" s="4" t="str">
        <f>"王瑞丽"</f>
        <v>王瑞丽</v>
      </c>
      <c r="E1663" s="4" t="str">
        <f t="shared" si="156"/>
        <v>女</v>
      </c>
    </row>
    <row r="1664" customHeight="1" spans="1:5">
      <c r="A1664" s="4">
        <v>1662</v>
      </c>
      <c r="B1664" s="4" t="str">
        <f>"431720220806200214232660"</f>
        <v>431720220806200214232660</v>
      </c>
      <c r="C1664" s="5" t="s">
        <v>20</v>
      </c>
      <c r="D1664" s="4" t="str">
        <f>"文先慧"</f>
        <v>文先慧</v>
      </c>
      <c r="E1664" s="4" t="str">
        <f t="shared" si="156"/>
        <v>女</v>
      </c>
    </row>
    <row r="1665" customHeight="1" spans="1:5">
      <c r="A1665" s="4">
        <v>1663</v>
      </c>
      <c r="B1665" s="4" t="str">
        <f>"431720220806201237232677"</f>
        <v>431720220806201237232677</v>
      </c>
      <c r="C1665" s="5" t="s">
        <v>20</v>
      </c>
      <c r="D1665" s="4" t="str">
        <f>"王详"</f>
        <v>王详</v>
      </c>
      <c r="E1665" s="4" t="str">
        <f>"男"</f>
        <v>男</v>
      </c>
    </row>
    <row r="1666" customHeight="1" spans="1:5">
      <c r="A1666" s="4">
        <v>1664</v>
      </c>
      <c r="B1666" s="4" t="str">
        <f>"431720220806201712232684"</f>
        <v>431720220806201712232684</v>
      </c>
      <c r="C1666" s="5" t="s">
        <v>20</v>
      </c>
      <c r="D1666" s="4" t="str">
        <f>"王世韵"</f>
        <v>王世韵</v>
      </c>
      <c r="E1666" s="4" t="str">
        <f t="shared" ref="E1666:E1703" si="157">"女"</f>
        <v>女</v>
      </c>
    </row>
    <row r="1667" customHeight="1" spans="1:5">
      <c r="A1667" s="4">
        <v>1665</v>
      </c>
      <c r="B1667" s="4" t="str">
        <f>"431720220806201938232691"</f>
        <v>431720220806201938232691</v>
      </c>
      <c r="C1667" s="5" t="s">
        <v>20</v>
      </c>
      <c r="D1667" s="4" t="str">
        <f>"涂雪颖"</f>
        <v>涂雪颖</v>
      </c>
      <c r="E1667" s="4" t="str">
        <f t="shared" si="157"/>
        <v>女</v>
      </c>
    </row>
    <row r="1668" customHeight="1" spans="1:5">
      <c r="A1668" s="4">
        <v>1666</v>
      </c>
      <c r="B1668" s="4" t="str">
        <f>"431720220807094245232980"</f>
        <v>431720220807094245232980</v>
      </c>
      <c r="C1668" s="5" t="s">
        <v>20</v>
      </c>
      <c r="D1668" s="4" t="str">
        <f>"苏娇雪"</f>
        <v>苏娇雪</v>
      </c>
      <c r="E1668" s="4" t="str">
        <f t="shared" si="157"/>
        <v>女</v>
      </c>
    </row>
    <row r="1669" customHeight="1" spans="1:5">
      <c r="A1669" s="4">
        <v>1667</v>
      </c>
      <c r="B1669" s="4" t="str">
        <f>"431720220807095004232990"</f>
        <v>431720220807095004232990</v>
      </c>
      <c r="C1669" s="5" t="s">
        <v>20</v>
      </c>
      <c r="D1669" s="4" t="str">
        <f>"苏滢源"</f>
        <v>苏滢源</v>
      </c>
      <c r="E1669" s="4" t="str">
        <f t="shared" si="157"/>
        <v>女</v>
      </c>
    </row>
    <row r="1670" customHeight="1" spans="1:5">
      <c r="A1670" s="4">
        <v>1668</v>
      </c>
      <c r="B1670" s="4" t="str">
        <f>"431720220807095530232996"</f>
        <v>431720220807095530232996</v>
      </c>
      <c r="C1670" s="5" t="s">
        <v>20</v>
      </c>
      <c r="D1670" s="4" t="str">
        <f>"王冬玲"</f>
        <v>王冬玲</v>
      </c>
      <c r="E1670" s="4" t="str">
        <f t="shared" si="157"/>
        <v>女</v>
      </c>
    </row>
    <row r="1671" customHeight="1" spans="1:5">
      <c r="A1671" s="4">
        <v>1669</v>
      </c>
      <c r="B1671" s="4" t="str">
        <f>"431720220807121529233144"</f>
        <v>431720220807121529233144</v>
      </c>
      <c r="C1671" s="5" t="s">
        <v>20</v>
      </c>
      <c r="D1671" s="4" t="str">
        <f>"吴梅秋"</f>
        <v>吴梅秋</v>
      </c>
      <c r="E1671" s="4" t="str">
        <f t="shared" si="157"/>
        <v>女</v>
      </c>
    </row>
    <row r="1672" customHeight="1" spans="1:5">
      <c r="A1672" s="4">
        <v>1670</v>
      </c>
      <c r="B1672" s="4" t="str">
        <f>"431720220807151045233292"</f>
        <v>431720220807151045233292</v>
      </c>
      <c r="C1672" s="5" t="s">
        <v>20</v>
      </c>
      <c r="D1672" s="4" t="str">
        <f>"王艳荷"</f>
        <v>王艳荷</v>
      </c>
      <c r="E1672" s="4" t="str">
        <f t="shared" si="157"/>
        <v>女</v>
      </c>
    </row>
    <row r="1673" customHeight="1" spans="1:5">
      <c r="A1673" s="4">
        <v>1671</v>
      </c>
      <c r="B1673" s="4" t="str">
        <f>"431720220807153453233330"</f>
        <v>431720220807153453233330</v>
      </c>
      <c r="C1673" s="5" t="s">
        <v>20</v>
      </c>
      <c r="D1673" s="4" t="str">
        <f>"黄云清"</f>
        <v>黄云清</v>
      </c>
      <c r="E1673" s="4" t="str">
        <f t="shared" si="157"/>
        <v>女</v>
      </c>
    </row>
    <row r="1674" customHeight="1" spans="1:5">
      <c r="A1674" s="4">
        <v>1672</v>
      </c>
      <c r="B1674" s="4" t="str">
        <f>"431720220807174447233466"</f>
        <v>431720220807174447233466</v>
      </c>
      <c r="C1674" s="5" t="s">
        <v>20</v>
      </c>
      <c r="D1674" s="4" t="str">
        <f>"夏李慧"</f>
        <v>夏李慧</v>
      </c>
      <c r="E1674" s="4" t="str">
        <f t="shared" si="157"/>
        <v>女</v>
      </c>
    </row>
    <row r="1675" customHeight="1" spans="1:5">
      <c r="A1675" s="4">
        <v>1673</v>
      </c>
      <c r="B1675" s="4" t="str">
        <f>"431720220807201713233550"</f>
        <v>431720220807201713233550</v>
      </c>
      <c r="C1675" s="5" t="s">
        <v>20</v>
      </c>
      <c r="D1675" s="4" t="str">
        <f>"陆思华"</f>
        <v>陆思华</v>
      </c>
      <c r="E1675" s="4" t="str">
        <f t="shared" si="157"/>
        <v>女</v>
      </c>
    </row>
    <row r="1676" customHeight="1" spans="1:5">
      <c r="A1676" s="4">
        <v>1674</v>
      </c>
      <c r="B1676" s="4" t="str">
        <f>"431720220807225622233650"</f>
        <v>431720220807225622233650</v>
      </c>
      <c r="C1676" s="5" t="s">
        <v>20</v>
      </c>
      <c r="D1676" s="4" t="str">
        <f>"黄朝华"</f>
        <v>黄朝华</v>
      </c>
      <c r="E1676" s="4" t="str">
        <f t="shared" si="157"/>
        <v>女</v>
      </c>
    </row>
    <row r="1677" customHeight="1" spans="1:5">
      <c r="A1677" s="4">
        <v>1675</v>
      </c>
      <c r="B1677" s="4" t="str">
        <f>"431720220807234907233673"</f>
        <v>431720220807234907233673</v>
      </c>
      <c r="C1677" s="5" t="s">
        <v>20</v>
      </c>
      <c r="D1677" s="4" t="str">
        <f>"赵学清"</f>
        <v>赵学清</v>
      </c>
      <c r="E1677" s="4" t="str">
        <f t="shared" si="157"/>
        <v>女</v>
      </c>
    </row>
    <row r="1678" customHeight="1" spans="1:5">
      <c r="A1678" s="4">
        <v>1676</v>
      </c>
      <c r="B1678" s="4" t="str">
        <f>"431720220808104421234719"</f>
        <v>431720220808104421234719</v>
      </c>
      <c r="C1678" s="5" t="s">
        <v>20</v>
      </c>
      <c r="D1678" s="4" t="str">
        <f>"韩迷迷"</f>
        <v>韩迷迷</v>
      </c>
      <c r="E1678" s="4" t="str">
        <f t="shared" si="157"/>
        <v>女</v>
      </c>
    </row>
    <row r="1679" customHeight="1" spans="1:5">
      <c r="A1679" s="4">
        <v>1677</v>
      </c>
      <c r="B1679" s="4" t="str">
        <f>"431720220808121356235110"</f>
        <v>431720220808121356235110</v>
      </c>
      <c r="C1679" s="5" t="s">
        <v>20</v>
      </c>
      <c r="D1679" s="4" t="str">
        <f>"陆小云"</f>
        <v>陆小云</v>
      </c>
      <c r="E1679" s="4" t="str">
        <f t="shared" si="157"/>
        <v>女</v>
      </c>
    </row>
    <row r="1680" customHeight="1" spans="1:5">
      <c r="A1680" s="4">
        <v>1678</v>
      </c>
      <c r="B1680" s="4" t="str">
        <f>"431720220808152945235705"</f>
        <v>431720220808152945235705</v>
      </c>
      <c r="C1680" s="5" t="s">
        <v>20</v>
      </c>
      <c r="D1680" s="4" t="str">
        <f>"黄嘉琪"</f>
        <v>黄嘉琪</v>
      </c>
      <c r="E1680" s="4" t="str">
        <f t="shared" si="157"/>
        <v>女</v>
      </c>
    </row>
    <row r="1681" customHeight="1" spans="1:5">
      <c r="A1681" s="4">
        <v>1679</v>
      </c>
      <c r="B1681" s="4" t="str">
        <f>"431720220808154855235766"</f>
        <v>431720220808154855235766</v>
      </c>
      <c r="C1681" s="5" t="s">
        <v>20</v>
      </c>
      <c r="D1681" s="4" t="str">
        <f>"陈玲妹"</f>
        <v>陈玲妹</v>
      </c>
      <c r="E1681" s="4" t="str">
        <f t="shared" si="157"/>
        <v>女</v>
      </c>
    </row>
    <row r="1682" customHeight="1" spans="1:5">
      <c r="A1682" s="4">
        <v>1680</v>
      </c>
      <c r="B1682" s="4" t="str">
        <f>"431720220808163705235919"</f>
        <v>431720220808163705235919</v>
      </c>
      <c r="C1682" s="5" t="s">
        <v>20</v>
      </c>
      <c r="D1682" s="4" t="str">
        <f>"刘虹杏"</f>
        <v>刘虹杏</v>
      </c>
      <c r="E1682" s="4" t="str">
        <f t="shared" si="157"/>
        <v>女</v>
      </c>
    </row>
    <row r="1683" customHeight="1" spans="1:5">
      <c r="A1683" s="4">
        <v>1681</v>
      </c>
      <c r="B1683" s="4" t="str">
        <f>"431720220808171743236060"</f>
        <v>431720220808171743236060</v>
      </c>
      <c r="C1683" s="5" t="s">
        <v>20</v>
      </c>
      <c r="D1683" s="4" t="str">
        <f>"洪雪莉"</f>
        <v>洪雪莉</v>
      </c>
      <c r="E1683" s="4" t="str">
        <f t="shared" si="157"/>
        <v>女</v>
      </c>
    </row>
    <row r="1684" customHeight="1" spans="1:5">
      <c r="A1684" s="4">
        <v>1682</v>
      </c>
      <c r="B1684" s="4" t="str">
        <f>"431720220808191741236369"</f>
        <v>431720220808191741236369</v>
      </c>
      <c r="C1684" s="5" t="s">
        <v>20</v>
      </c>
      <c r="D1684" s="4" t="str">
        <f>"黎井爱"</f>
        <v>黎井爱</v>
      </c>
      <c r="E1684" s="4" t="str">
        <f t="shared" si="157"/>
        <v>女</v>
      </c>
    </row>
    <row r="1685" customHeight="1" spans="1:5">
      <c r="A1685" s="4">
        <v>1683</v>
      </c>
      <c r="B1685" s="4" t="str">
        <f>"431720220808192148236382"</f>
        <v>431720220808192148236382</v>
      </c>
      <c r="C1685" s="5" t="s">
        <v>20</v>
      </c>
      <c r="D1685" s="4" t="str">
        <f>"周娴"</f>
        <v>周娴</v>
      </c>
      <c r="E1685" s="4" t="str">
        <f t="shared" si="157"/>
        <v>女</v>
      </c>
    </row>
    <row r="1686" customHeight="1" spans="1:5">
      <c r="A1686" s="4">
        <v>1684</v>
      </c>
      <c r="B1686" s="4" t="str">
        <f>"431720220808193710236413"</f>
        <v>431720220808193710236413</v>
      </c>
      <c r="C1686" s="5" t="s">
        <v>20</v>
      </c>
      <c r="D1686" s="4" t="str">
        <f>"陈蕊"</f>
        <v>陈蕊</v>
      </c>
      <c r="E1686" s="4" t="str">
        <f t="shared" si="157"/>
        <v>女</v>
      </c>
    </row>
    <row r="1687" customHeight="1" spans="1:5">
      <c r="A1687" s="4">
        <v>1685</v>
      </c>
      <c r="B1687" s="4" t="str">
        <f>"431720220809093328237277"</f>
        <v>431720220809093328237277</v>
      </c>
      <c r="C1687" s="5" t="s">
        <v>20</v>
      </c>
      <c r="D1687" s="4" t="str">
        <f>"周玲选"</f>
        <v>周玲选</v>
      </c>
      <c r="E1687" s="4" t="str">
        <f t="shared" si="157"/>
        <v>女</v>
      </c>
    </row>
    <row r="1688" customHeight="1" spans="1:5">
      <c r="A1688" s="4">
        <v>1686</v>
      </c>
      <c r="B1688" s="4" t="str">
        <f>"431720220809154955238233"</f>
        <v>431720220809154955238233</v>
      </c>
      <c r="C1688" s="5" t="s">
        <v>20</v>
      </c>
      <c r="D1688" s="4" t="str">
        <f>"吴琼华"</f>
        <v>吴琼华</v>
      </c>
      <c r="E1688" s="4" t="str">
        <f t="shared" si="157"/>
        <v>女</v>
      </c>
    </row>
    <row r="1689" customHeight="1" spans="1:5">
      <c r="A1689" s="4">
        <v>1687</v>
      </c>
      <c r="B1689" s="4" t="str">
        <f>"431720220809161256238296"</f>
        <v>431720220809161256238296</v>
      </c>
      <c r="C1689" s="5" t="s">
        <v>20</v>
      </c>
      <c r="D1689" s="4" t="str">
        <f>"陈丽平"</f>
        <v>陈丽平</v>
      </c>
      <c r="E1689" s="4" t="str">
        <f t="shared" si="157"/>
        <v>女</v>
      </c>
    </row>
    <row r="1690" customHeight="1" spans="1:5">
      <c r="A1690" s="4">
        <v>1688</v>
      </c>
      <c r="B1690" s="4" t="str">
        <f>"431720220809164003238373"</f>
        <v>431720220809164003238373</v>
      </c>
      <c r="C1690" s="5" t="s">
        <v>20</v>
      </c>
      <c r="D1690" s="4" t="str">
        <f>"王侨源"</f>
        <v>王侨源</v>
      </c>
      <c r="E1690" s="4" t="str">
        <f t="shared" si="157"/>
        <v>女</v>
      </c>
    </row>
    <row r="1691" customHeight="1" spans="1:5">
      <c r="A1691" s="4">
        <v>1689</v>
      </c>
      <c r="B1691" s="4" t="str">
        <f>"431720220809164415238379"</f>
        <v>431720220809164415238379</v>
      </c>
      <c r="C1691" s="5" t="s">
        <v>20</v>
      </c>
      <c r="D1691" s="4" t="str">
        <f>"符发琴"</f>
        <v>符发琴</v>
      </c>
      <c r="E1691" s="4" t="str">
        <f t="shared" si="157"/>
        <v>女</v>
      </c>
    </row>
    <row r="1692" customHeight="1" spans="1:5">
      <c r="A1692" s="4">
        <v>1690</v>
      </c>
      <c r="B1692" s="4" t="str">
        <f>"431720220809173604238482"</f>
        <v>431720220809173604238482</v>
      </c>
      <c r="C1692" s="5" t="s">
        <v>20</v>
      </c>
      <c r="D1692" s="4" t="str">
        <f>"杨能"</f>
        <v>杨能</v>
      </c>
      <c r="E1692" s="4" t="str">
        <f t="shared" si="157"/>
        <v>女</v>
      </c>
    </row>
    <row r="1693" customHeight="1" spans="1:5">
      <c r="A1693" s="4">
        <v>1691</v>
      </c>
      <c r="B1693" s="4" t="str">
        <f>"431720220809183253238581"</f>
        <v>431720220809183253238581</v>
      </c>
      <c r="C1693" s="5" t="s">
        <v>20</v>
      </c>
      <c r="D1693" s="4" t="str">
        <f>"陈云娜"</f>
        <v>陈云娜</v>
      </c>
      <c r="E1693" s="4" t="str">
        <f t="shared" si="157"/>
        <v>女</v>
      </c>
    </row>
    <row r="1694" customHeight="1" spans="1:5">
      <c r="A1694" s="4">
        <v>1692</v>
      </c>
      <c r="B1694" s="4" t="str">
        <f>"431720220809184824238606"</f>
        <v>431720220809184824238606</v>
      </c>
      <c r="C1694" s="5" t="s">
        <v>20</v>
      </c>
      <c r="D1694" s="4" t="str">
        <f>"王丽金"</f>
        <v>王丽金</v>
      </c>
      <c r="E1694" s="4" t="str">
        <f t="shared" si="157"/>
        <v>女</v>
      </c>
    </row>
    <row r="1695" customHeight="1" spans="1:5">
      <c r="A1695" s="4">
        <v>1693</v>
      </c>
      <c r="B1695" s="4" t="str">
        <f>"431720220809204545238824"</f>
        <v>431720220809204545238824</v>
      </c>
      <c r="C1695" s="5" t="s">
        <v>20</v>
      </c>
      <c r="D1695" s="4" t="str">
        <f>"符丽选"</f>
        <v>符丽选</v>
      </c>
      <c r="E1695" s="4" t="str">
        <f t="shared" si="157"/>
        <v>女</v>
      </c>
    </row>
    <row r="1696" customHeight="1" spans="1:5">
      <c r="A1696" s="4">
        <v>1694</v>
      </c>
      <c r="B1696" s="4" t="str">
        <f>"431720220809232728239136"</f>
        <v>431720220809232728239136</v>
      </c>
      <c r="C1696" s="5" t="s">
        <v>20</v>
      </c>
      <c r="D1696" s="4" t="str">
        <f>"吴佳琪"</f>
        <v>吴佳琪</v>
      </c>
      <c r="E1696" s="4" t="str">
        <f t="shared" si="157"/>
        <v>女</v>
      </c>
    </row>
    <row r="1697" customHeight="1" spans="1:5">
      <c r="A1697" s="4">
        <v>1695</v>
      </c>
      <c r="B1697" s="4" t="str">
        <f>"431720220810162443240759"</f>
        <v>431720220810162443240759</v>
      </c>
      <c r="C1697" s="5" t="s">
        <v>20</v>
      </c>
      <c r="D1697" s="4" t="str">
        <f>"文惠"</f>
        <v>文惠</v>
      </c>
      <c r="E1697" s="4" t="str">
        <f t="shared" si="157"/>
        <v>女</v>
      </c>
    </row>
    <row r="1698" customHeight="1" spans="1:5">
      <c r="A1698" s="4">
        <v>1696</v>
      </c>
      <c r="B1698" s="4" t="str">
        <f>"431720220810165312240844"</f>
        <v>431720220810165312240844</v>
      </c>
      <c r="C1698" s="5" t="s">
        <v>20</v>
      </c>
      <c r="D1698" s="4" t="str">
        <f>"许鑫"</f>
        <v>许鑫</v>
      </c>
      <c r="E1698" s="4" t="str">
        <f t="shared" si="157"/>
        <v>女</v>
      </c>
    </row>
    <row r="1699" customHeight="1" spans="1:5">
      <c r="A1699" s="4">
        <v>1697</v>
      </c>
      <c r="B1699" s="4" t="str">
        <f>"431720220810165339240846"</f>
        <v>431720220810165339240846</v>
      </c>
      <c r="C1699" s="5" t="s">
        <v>20</v>
      </c>
      <c r="D1699" s="4" t="str">
        <f>"陈红晓"</f>
        <v>陈红晓</v>
      </c>
      <c r="E1699" s="4" t="str">
        <f t="shared" si="157"/>
        <v>女</v>
      </c>
    </row>
    <row r="1700" customHeight="1" spans="1:5">
      <c r="A1700" s="4">
        <v>1698</v>
      </c>
      <c r="B1700" s="4" t="str">
        <f>"431720220810200525241265"</f>
        <v>431720220810200525241265</v>
      </c>
      <c r="C1700" s="5" t="s">
        <v>20</v>
      </c>
      <c r="D1700" s="4" t="str">
        <f>"陈茜"</f>
        <v>陈茜</v>
      </c>
      <c r="E1700" s="4" t="str">
        <f t="shared" si="157"/>
        <v>女</v>
      </c>
    </row>
    <row r="1701" customHeight="1" spans="1:5">
      <c r="A1701" s="4">
        <v>1699</v>
      </c>
      <c r="B1701" s="4" t="str">
        <f>"431720220810211037241426"</f>
        <v>431720220810211037241426</v>
      </c>
      <c r="C1701" s="5" t="s">
        <v>20</v>
      </c>
      <c r="D1701" s="4" t="str">
        <f>"林雅"</f>
        <v>林雅</v>
      </c>
      <c r="E1701" s="4" t="str">
        <f t="shared" si="157"/>
        <v>女</v>
      </c>
    </row>
    <row r="1702" customHeight="1" spans="1:5">
      <c r="A1702" s="4">
        <v>1700</v>
      </c>
      <c r="B1702" s="4" t="str">
        <f>"431720220810211323241433"</f>
        <v>431720220810211323241433</v>
      </c>
      <c r="C1702" s="5" t="s">
        <v>20</v>
      </c>
      <c r="D1702" s="4" t="str">
        <f>"林造芳"</f>
        <v>林造芳</v>
      </c>
      <c r="E1702" s="4" t="str">
        <f t="shared" si="157"/>
        <v>女</v>
      </c>
    </row>
    <row r="1703" customHeight="1" spans="1:5">
      <c r="A1703" s="4">
        <v>1701</v>
      </c>
      <c r="B1703" s="4" t="str">
        <f>"431720220810215130241541"</f>
        <v>431720220810215130241541</v>
      </c>
      <c r="C1703" s="5" t="s">
        <v>20</v>
      </c>
      <c r="D1703" s="4" t="str">
        <f>"吴晓虹"</f>
        <v>吴晓虹</v>
      </c>
      <c r="E1703" s="4" t="str">
        <f t="shared" si="157"/>
        <v>女</v>
      </c>
    </row>
    <row r="1704" customHeight="1" spans="1:5">
      <c r="A1704" s="4">
        <v>1702</v>
      </c>
      <c r="B1704" s="4" t="str">
        <f>"431720220811035546241806"</f>
        <v>431720220811035546241806</v>
      </c>
      <c r="C1704" s="5" t="s">
        <v>20</v>
      </c>
      <c r="D1704" s="4" t="str">
        <f>"曾其生"</f>
        <v>曾其生</v>
      </c>
      <c r="E1704" s="4" t="str">
        <f>"男"</f>
        <v>男</v>
      </c>
    </row>
    <row r="1705" customHeight="1" spans="1:5">
      <c r="A1705" s="4">
        <v>1703</v>
      </c>
      <c r="B1705" s="4" t="str">
        <f>"431720220811131514242797"</f>
        <v>431720220811131514242797</v>
      </c>
      <c r="C1705" s="5" t="s">
        <v>20</v>
      </c>
      <c r="D1705" s="4" t="str">
        <f>"杨小丹"</f>
        <v>杨小丹</v>
      </c>
      <c r="E1705" s="4" t="str">
        <f t="shared" ref="E1705:E1720" si="158">"女"</f>
        <v>女</v>
      </c>
    </row>
    <row r="1706" customHeight="1" spans="1:5">
      <c r="A1706" s="4">
        <v>1704</v>
      </c>
      <c r="B1706" s="4" t="str">
        <f>"431720220811152939243183"</f>
        <v>431720220811152939243183</v>
      </c>
      <c r="C1706" s="5" t="s">
        <v>20</v>
      </c>
      <c r="D1706" s="4" t="str">
        <f>"黄娇"</f>
        <v>黄娇</v>
      </c>
      <c r="E1706" s="4" t="str">
        <f t="shared" si="158"/>
        <v>女</v>
      </c>
    </row>
    <row r="1707" customHeight="1" spans="1:5">
      <c r="A1707" s="4">
        <v>1705</v>
      </c>
      <c r="B1707" s="4" t="str">
        <f>"431720220811172858243507"</f>
        <v>431720220811172858243507</v>
      </c>
      <c r="C1707" s="5" t="s">
        <v>20</v>
      </c>
      <c r="D1707" s="4" t="str">
        <f>"崔聃琪"</f>
        <v>崔聃琪</v>
      </c>
      <c r="E1707" s="4" t="str">
        <f t="shared" si="158"/>
        <v>女</v>
      </c>
    </row>
    <row r="1708" customHeight="1" spans="1:5">
      <c r="A1708" s="4">
        <v>1706</v>
      </c>
      <c r="B1708" s="4" t="str">
        <f>"431720220811195011243585"</f>
        <v>431720220811195011243585</v>
      </c>
      <c r="C1708" s="5" t="s">
        <v>20</v>
      </c>
      <c r="D1708" s="4" t="str">
        <f>"林世芳"</f>
        <v>林世芳</v>
      </c>
      <c r="E1708" s="4" t="str">
        <f t="shared" si="158"/>
        <v>女</v>
      </c>
    </row>
    <row r="1709" customHeight="1" spans="1:5">
      <c r="A1709" s="4">
        <v>1707</v>
      </c>
      <c r="B1709" s="4" t="str">
        <f>"431720220811222455243680"</f>
        <v>431720220811222455243680</v>
      </c>
      <c r="C1709" s="5" t="s">
        <v>20</v>
      </c>
      <c r="D1709" s="4" t="str">
        <f>"王容"</f>
        <v>王容</v>
      </c>
      <c r="E1709" s="4" t="str">
        <f t="shared" si="158"/>
        <v>女</v>
      </c>
    </row>
    <row r="1710" customHeight="1" spans="1:5">
      <c r="A1710" s="4">
        <v>1708</v>
      </c>
      <c r="B1710" s="4" t="str">
        <f>"431720220811230932243706"</f>
        <v>431720220811230932243706</v>
      </c>
      <c r="C1710" s="5" t="s">
        <v>20</v>
      </c>
      <c r="D1710" s="4" t="str">
        <f>"吴婷婷"</f>
        <v>吴婷婷</v>
      </c>
      <c r="E1710" s="4" t="str">
        <f t="shared" si="158"/>
        <v>女</v>
      </c>
    </row>
    <row r="1711" customHeight="1" spans="1:5">
      <c r="A1711" s="4">
        <v>1709</v>
      </c>
      <c r="B1711" s="4" t="str">
        <f>"431720220812003814243750"</f>
        <v>431720220812003814243750</v>
      </c>
      <c r="C1711" s="5" t="s">
        <v>20</v>
      </c>
      <c r="D1711" s="4" t="str">
        <f>"李明"</f>
        <v>李明</v>
      </c>
      <c r="E1711" s="4" t="str">
        <f t="shared" si="158"/>
        <v>女</v>
      </c>
    </row>
    <row r="1712" customHeight="1" spans="1:5">
      <c r="A1712" s="4">
        <v>1710</v>
      </c>
      <c r="B1712" s="4" t="str">
        <f>"431720220812083848243803"</f>
        <v>431720220812083848243803</v>
      </c>
      <c r="C1712" s="5" t="s">
        <v>20</v>
      </c>
      <c r="D1712" s="4" t="str">
        <f>"陈秀妃"</f>
        <v>陈秀妃</v>
      </c>
      <c r="E1712" s="4" t="str">
        <f t="shared" si="158"/>
        <v>女</v>
      </c>
    </row>
    <row r="1713" customHeight="1" spans="1:5">
      <c r="A1713" s="4">
        <v>1711</v>
      </c>
      <c r="B1713" s="4" t="str">
        <f>"431720220812085856243823"</f>
        <v>431720220812085856243823</v>
      </c>
      <c r="C1713" s="5" t="s">
        <v>20</v>
      </c>
      <c r="D1713" s="4" t="str">
        <f>"赵荣花"</f>
        <v>赵荣花</v>
      </c>
      <c r="E1713" s="4" t="str">
        <f t="shared" si="158"/>
        <v>女</v>
      </c>
    </row>
    <row r="1714" customHeight="1" spans="1:5">
      <c r="A1714" s="4">
        <v>1712</v>
      </c>
      <c r="B1714" s="4" t="str">
        <f>"431720220812093759243886"</f>
        <v>431720220812093759243886</v>
      </c>
      <c r="C1714" s="5" t="s">
        <v>20</v>
      </c>
      <c r="D1714" s="4" t="str">
        <f>"李东芳"</f>
        <v>李东芳</v>
      </c>
      <c r="E1714" s="4" t="str">
        <f t="shared" si="158"/>
        <v>女</v>
      </c>
    </row>
    <row r="1715" customHeight="1" spans="1:5">
      <c r="A1715" s="4">
        <v>1713</v>
      </c>
      <c r="B1715" s="4" t="str">
        <f>"431720220812102646243980"</f>
        <v>431720220812102646243980</v>
      </c>
      <c r="C1715" s="5" t="s">
        <v>20</v>
      </c>
      <c r="D1715" s="4" t="str">
        <f>"云艳苗"</f>
        <v>云艳苗</v>
      </c>
      <c r="E1715" s="4" t="str">
        <f t="shared" si="158"/>
        <v>女</v>
      </c>
    </row>
    <row r="1716" customHeight="1" spans="1:5">
      <c r="A1716" s="4">
        <v>1714</v>
      </c>
      <c r="B1716" s="4" t="str">
        <f>"431720220812123056244183"</f>
        <v>431720220812123056244183</v>
      </c>
      <c r="C1716" s="5" t="s">
        <v>20</v>
      </c>
      <c r="D1716" s="4" t="str">
        <f>"吴显慧"</f>
        <v>吴显慧</v>
      </c>
      <c r="E1716" s="4" t="str">
        <f t="shared" si="158"/>
        <v>女</v>
      </c>
    </row>
    <row r="1717" customHeight="1" spans="1:5">
      <c r="A1717" s="4">
        <v>1715</v>
      </c>
      <c r="B1717" s="4" t="str">
        <f>"431720220812131413244235"</f>
        <v>431720220812131413244235</v>
      </c>
      <c r="C1717" s="5" t="s">
        <v>20</v>
      </c>
      <c r="D1717" s="4" t="str">
        <f>"谢文妃"</f>
        <v>谢文妃</v>
      </c>
      <c r="E1717" s="4" t="str">
        <f t="shared" si="158"/>
        <v>女</v>
      </c>
    </row>
    <row r="1718" customHeight="1" spans="1:5">
      <c r="A1718" s="4">
        <v>1716</v>
      </c>
      <c r="B1718" s="4" t="str">
        <f>"431720220812142518244299"</f>
        <v>431720220812142518244299</v>
      </c>
      <c r="C1718" s="5" t="s">
        <v>20</v>
      </c>
      <c r="D1718" s="4" t="str">
        <f>"王四妹"</f>
        <v>王四妹</v>
      </c>
      <c r="E1718" s="4" t="str">
        <f t="shared" si="158"/>
        <v>女</v>
      </c>
    </row>
    <row r="1719" customHeight="1" spans="1:5">
      <c r="A1719" s="4">
        <v>1717</v>
      </c>
      <c r="B1719" s="4" t="str">
        <f>"431720220806090317231188"</f>
        <v>431720220806090317231188</v>
      </c>
      <c r="C1719" s="5" t="s">
        <v>21</v>
      </c>
      <c r="D1719" s="4" t="str">
        <f>"秦丁婷"</f>
        <v>秦丁婷</v>
      </c>
      <c r="E1719" s="4" t="str">
        <f t="shared" si="158"/>
        <v>女</v>
      </c>
    </row>
    <row r="1720" customHeight="1" spans="1:5">
      <c r="A1720" s="4">
        <v>1718</v>
      </c>
      <c r="B1720" s="4" t="str">
        <f>"431720220806094713231331"</f>
        <v>431720220806094713231331</v>
      </c>
      <c r="C1720" s="5" t="s">
        <v>21</v>
      </c>
      <c r="D1720" s="4" t="str">
        <f>"杨秀坤"</f>
        <v>杨秀坤</v>
      </c>
      <c r="E1720" s="4" t="str">
        <f t="shared" si="158"/>
        <v>女</v>
      </c>
    </row>
    <row r="1721" customHeight="1" spans="1:5">
      <c r="A1721" s="4">
        <v>1719</v>
      </c>
      <c r="B1721" s="4" t="str">
        <f>"431720220806094936231341"</f>
        <v>431720220806094936231341</v>
      </c>
      <c r="C1721" s="5" t="s">
        <v>21</v>
      </c>
      <c r="D1721" s="4" t="str">
        <f>"梁其坚"</f>
        <v>梁其坚</v>
      </c>
      <c r="E1721" s="4" t="str">
        <f t="shared" ref="E1721:E1726" si="159">"男"</f>
        <v>男</v>
      </c>
    </row>
    <row r="1722" customHeight="1" spans="1:5">
      <c r="A1722" s="4">
        <v>1720</v>
      </c>
      <c r="B1722" s="4" t="str">
        <f>"431720220806105144231539"</f>
        <v>431720220806105144231539</v>
      </c>
      <c r="C1722" s="5" t="s">
        <v>21</v>
      </c>
      <c r="D1722" s="4" t="str">
        <f>"谢成玲"</f>
        <v>谢成玲</v>
      </c>
      <c r="E1722" s="4" t="str">
        <f t="shared" ref="E1722:E1729" si="160">"女"</f>
        <v>女</v>
      </c>
    </row>
    <row r="1723" customHeight="1" spans="1:5">
      <c r="A1723" s="4">
        <v>1721</v>
      </c>
      <c r="B1723" s="4" t="str">
        <f>"431720220806114628231713"</f>
        <v>431720220806114628231713</v>
      </c>
      <c r="C1723" s="5" t="s">
        <v>21</v>
      </c>
      <c r="D1723" s="4" t="str">
        <f>"刘燕女"</f>
        <v>刘燕女</v>
      </c>
      <c r="E1723" s="4" t="str">
        <f t="shared" si="160"/>
        <v>女</v>
      </c>
    </row>
    <row r="1724" customHeight="1" spans="1:5">
      <c r="A1724" s="4">
        <v>1722</v>
      </c>
      <c r="B1724" s="4" t="str">
        <f>"431720220806151919232215"</f>
        <v>431720220806151919232215</v>
      </c>
      <c r="C1724" s="5" t="s">
        <v>21</v>
      </c>
      <c r="D1724" s="4" t="str">
        <f>"黄忠贵"</f>
        <v>黄忠贵</v>
      </c>
      <c r="E1724" s="4" t="str">
        <f t="shared" si="159"/>
        <v>男</v>
      </c>
    </row>
    <row r="1725" customHeight="1" spans="1:5">
      <c r="A1725" s="4">
        <v>1723</v>
      </c>
      <c r="B1725" s="4" t="str">
        <f>"431720220806163702232383"</f>
        <v>431720220806163702232383</v>
      </c>
      <c r="C1725" s="5" t="s">
        <v>21</v>
      </c>
      <c r="D1725" s="4" t="str">
        <f>"刘孙然"</f>
        <v>刘孙然</v>
      </c>
      <c r="E1725" s="4" t="str">
        <f t="shared" si="159"/>
        <v>男</v>
      </c>
    </row>
    <row r="1726" customHeight="1" spans="1:5">
      <c r="A1726" s="4">
        <v>1724</v>
      </c>
      <c r="B1726" s="4" t="str">
        <f>"431720220806171528232453"</f>
        <v>431720220806171528232453</v>
      </c>
      <c r="C1726" s="5" t="s">
        <v>21</v>
      </c>
      <c r="D1726" s="4" t="str">
        <f>"文继培"</f>
        <v>文继培</v>
      </c>
      <c r="E1726" s="4" t="str">
        <f t="shared" si="159"/>
        <v>男</v>
      </c>
    </row>
    <row r="1727" customHeight="1" spans="1:5">
      <c r="A1727" s="4">
        <v>1725</v>
      </c>
      <c r="B1727" s="4" t="str">
        <f>"431720220806194525232638"</f>
        <v>431720220806194525232638</v>
      </c>
      <c r="C1727" s="5" t="s">
        <v>21</v>
      </c>
      <c r="D1727" s="4" t="str">
        <f>"王带儿"</f>
        <v>王带儿</v>
      </c>
      <c r="E1727" s="4" t="str">
        <f t="shared" si="160"/>
        <v>女</v>
      </c>
    </row>
    <row r="1728" customHeight="1" spans="1:5">
      <c r="A1728" s="4">
        <v>1726</v>
      </c>
      <c r="B1728" s="4" t="str">
        <f>"431720220807113525233097"</f>
        <v>431720220807113525233097</v>
      </c>
      <c r="C1728" s="5" t="s">
        <v>21</v>
      </c>
      <c r="D1728" s="4" t="str">
        <f>"王丽婷"</f>
        <v>王丽婷</v>
      </c>
      <c r="E1728" s="4" t="str">
        <f t="shared" si="160"/>
        <v>女</v>
      </c>
    </row>
    <row r="1729" customHeight="1" spans="1:5">
      <c r="A1729" s="4">
        <v>1727</v>
      </c>
      <c r="B1729" s="4" t="str">
        <f>"431720220807115935233127"</f>
        <v>431720220807115935233127</v>
      </c>
      <c r="C1729" s="5" t="s">
        <v>21</v>
      </c>
      <c r="D1729" s="4" t="str">
        <f>"王符姑"</f>
        <v>王符姑</v>
      </c>
      <c r="E1729" s="4" t="str">
        <f t="shared" si="160"/>
        <v>女</v>
      </c>
    </row>
    <row r="1730" customHeight="1" spans="1:5">
      <c r="A1730" s="4">
        <v>1728</v>
      </c>
      <c r="B1730" s="4" t="str">
        <f>"431720220807154825233343"</f>
        <v>431720220807154825233343</v>
      </c>
      <c r="C1730" s="5" t="s">
        <v>21</v>
      </c>
      <c r="D1730" s="4" t="str">
        <f>"陈贤亮"</f>
        <v>陈贤亮</v>
      </c>
      <c r="E1730" s="4" t="str">
        <f>"男"</f>
        <v>男</v>
      </c>
    </row>
    <row r="1731" customHeight="1" spans="1:5">
      <c r="A1731" s="4">
        <v>1729</v>
      </c>
      <c r="B1731" s="4" t="str">
        <f>"431720220807182252233495"</f>
        <v>431720220807182252233495</v>
      </c>
      <c r="C1731" s="5" t="s">
        <v>21</v>
      </c>
      <c r="D1731" s="4" t="str">
        <f>"李宝黄"</f>
        <v>李宝黄</v>
      </c>
      <c r="E1731" s="4" t="str">
        <f>"男"</f>
        <v>男</v>
      </c>
    </row>
    <row r="1732" customHeight="1" spans="1:5">
      <c r="A1732" s="4">
        <v>1730</v>
      </c>
      <c r="B1732" s="4" t="str">
        <f>"431720220807215028233615"</f>
        <v>431720220807215028233615</v>
      </c>
      <c r="C1732" s="5" t="s">
        <v>21</v>
      </c>
      <c r="D1732" s="4" t="str">
        <f>"谢少远"</f>
        <v>谢少远</v>
      </c>
      <c r="E1732" s="4" t="str">
        <f t="shared" ref="E1732:E1735" si="161">"女"</f>
        <v>女</v>
      </c>
    </row>
    <row r="1733" customHeight="1" spans="1:5">
      <c r="A1733" s="4">
        <v>1731</v>
      </c>
      <c r="B1733" s="4" t="str">
        <f>"431720220808090027233970"</f>
        <v>431720220808090027233970</v>
      </c>
      <c r="C1733" s="5" t="s">
        <v>21</v>
      </c>
      <c r="D1733" s="4" t="str">
        <f>"冼泽云"</f>
        <v>冼泽云</v>
      </c>
      <c r="E1733" s="4" t="str">
        <f t="shared" si="161"/>
        <v>女</v>
      </c>
    </row>
    <row r="1734" customHeight="1" spans="1:5">
      <c r="A1734" s="4">
        <v>1732</v>
      </c>
      <c r="B1734" s="4" t="str">
        <f>"431720220808100206234458"</f>
        <v>431720220808100206234458</v>
      </c>
      <c r="C1734" s="5" t="s">
        <v>21</v>
      </c>
      <c r="D1734" s="4" t="str">
        <f>"吴佳楠"</f>
        <v>吴佳楠</v>
      </c>
      <c r="E1734" s="4" t="str">
        <f t="shared" si="161"/>
        <v>女</v>
      </c>
    </row>
    <row r="1735" customHeight="1" spans="1:5">
      <c r="A1735" s="4">
        <v>1733</v>
      </c>
      <c r="B1735" s="4" t="str">
        <f>"431720220808115210235025"</f>
        <v>431720220808115210235025</v>
      </c>
      <c r="C1735" s="5" t="s">
        <v>21</v>
      </c>
      <c r="D1735" s="4" t="str">
        <f>"吴涓"</f>
        <v>吴涓</v>
      </c>
      <c r="E1735" s="4" t="str">
        <f t="shared" si="161"/>
        <v>女</v>
      </c>
    </row>
    <row r="1736" customHeight="1" spans="1:5">
      <c r="A1736" s="4">
        <v>1734</v>
      </c>
      <c r="B1736" s="4" t="str">
        <f>"431720220808211546236663"</f>
        <v>431720220808211546236663</v>
      </c>
      <c r="C1736" s="5" t="s">
        <v>21</v>
      </c>
      <c r="D1736" s="4" t="str">
        <f>"谢锦鹏"</f>
        <v>谢锦鹏</v>
      </c>
      <c r="E1736" s="4" t="str">
        <f>"男"</f>
        <v>男</v>
      </c>
    </row>
    <row r="1737" customHeight="1" spans="1:5">
      <c r="A1737" s="4">
        <v>1735</v>
      </c>
      <c r="B1737" s="4" t="str">
        <f>"431720220809122307237766"</f>
        <v>431720220809122307237766</v>
      </c>
      <c r="C1737" s="5" t="s">
        <v>21</v>
      </c>
      <c r="D1737" s="4" t="str">
        <f>"吕杰"</f>
        <v>吕杰</v>
      </c>
      <c r="E1737" s="4" t="str">
        <f t="shared" ref="E1737:E1746" si="162">"女"</f>
        <v>女</v>
      </c>
    </row>
    <row r="1738" customHeight="1" spans="1:5">
      <c r="A1738" s="4">
        <v>1736</v>
      </c>
      <c r="B1738" s="4" t="str">
        <f>"431720220809154449238221"</f>
        <v>431720220809154449238221</v>
      </c>
      <c r="C1738" s="5" t="s">
        <v>21</v>
      </c>
      <c r="D1738" s="4" t="str">
        <f>"陈蓉"</f>
        <v>陈蓉</v>
      </c>
      <c r="E1738" s="4" t="str">
        <f t="shared" si="162"/>
        <v>女</v>
      </c>
    </row>
    <row r="1739" customHeight="1" spans="1:5">
      <c r="A1739" s="4">
        <v>1737</v>
      </c>
      <c r="B1739" s="4" t="str">
        <f>"431720220810134502240294"</f>
        <v>431720220810134502240294</v>
      </c>
      <c r="C1739" s="5" t="s">
        <v>21</v>
      </c>
      <c r="D1739" s="4" t="str">
        <f>"林月星"</f>
        <v>林月星</v>
      </c>
      <c r="E1739" s="4" t="str">
        <f t="shared" si="162"/>
        <v>女</v>
      </c>
    </row>
    <row r="1740" customHeight="1" spans="1:5">
      <c r="A1740" s="4">
        <v>1738</v>
      </c>
      <c r="B1740" s="4" t="str">
        <f>"431720220810225719241684"</f>
        <v>431720220810225719241684</v>
      </c>
      <c r="C1740" s="5" t="s">
        <v>21</v>
      </c>
      <c r="D1740" s="4" t="str">
        <f>"李江弟"</f>
        <v>李江弟</v>
      </c>
      <c r="E1740" s="4" t="str">
        <f t="shared" si="162"/>
        <v>女</v>
      </c>
    </row>
    <row r="1741" customHeight="1" spans="1:5">
      <c r="A1741" s="4">
        <v>1739</v>
      </c>
      <c r="B1741" s="4" t="str">
        <f>"431720220811113637242514"</f>
        <v>431720220811113637242514</v>
      </c>
      <c r="C1741" s="5" t="s">
        <v>21</v>
      </c>
      <c r="D1741" s="4" t="str">
        <f>"陈婕"</f>
        <v>陈婕</v>
      </c>
      <c r="E1741" s="4" t="str">
        <f t="shared" si="162"/>
        <v>女</v>
      </c>
    </row>
    <row r="1742" customHeight="1" spans="1:5">
      <c r="A1742" s="4">
        <v>1740</v>
      </c>
      <c r="B1742" s="4" t="str">
        <f>"431720220811161544243313"</f>
        <v>431720220811161544243313</v>
      </c>
      <c r="C1742" s="5" t="s">
        <v>21</v>
      </c>
      <c r="D1742" s="4" t="str">
        <f>"田玉玲"</f>
        <v>田玉玲</v>
      </c>
      <c r="E1742" s="4" t="str">
        <f t="shared" si="162"/>
        <v>女</v>
      </c>
    </row>
    <row r="1743" customHeight="1" spans="1:5">
      <c r="A1743" s="4">
        <v>1741</v>
      </c>
      <c r="B1743" s="4" t="str">
        <f>"431720220811180450243533"</f>
        <v>431720220811180450243533</v>
      </c>
      <c r="C1743" s="5" t="s">
        <v>21</v>
      </c>
      <c r="D1743" s="4" t="str">
        <f>"何诗音"</f>
        <v>何诗音</v>
      </c>
      <c r="E1743" s="4" t="str">
        <f t="shared" si="162"/>
        <v>女</v>
      </c>
    </row>
    <row r="1744" customHeight="1" spans="1:5">
      <c r="A1744" s="4">
        <v>1742</v>
      </c>
      <c r="B1744" s="4" t="str">
        <f>"431720220811202354243607"</f>
        <v>431720220811202354243607</v>
      </c>
      <c r="C1744" s="5" t="s">
        <v>21</v>
      </c>
      <c r="D1744" s="4" t="str">
        <f>"吴庭解"</f>
        <v>吴庭解</v>
      </c>
      <c r="E1744" s="4" t="str">
        <f t="shared" si="162"/>
        <v>女</v>
      </c>
    </row>
    <row r="1745" customHeight="1" spans="1:5">
      <c r="A1745" s="4">
        <v>1743</v>
      </c>
      <c r="B1745" s="4" t="str">
        <f>"431720220811224141243693"</f>
        <v>431720220811224141243693</v>
      </c>
      <c r="C1745" s="5" t="s">
        <v>21</v>
      </c>
      <c r="D1745" s="4" t="str">
        <f>"陈秋竹"</f>
        <v>陈秋竹</v>
      </c>
      <c r="E1745" s="4" t="str">
        <f t="shared" si="162"/>
        <v>女</v>
      </c>
    </row>
    <row r="1746" customHeight="1" spans="1:5">
      <c r="A1746" s="4">
        <v>1744</v>
      </c>
      <c r="B1746" s="4" t="str">
        <f>"431720220812073718243771"</f>
        <v>431720220812073718243771</v>
      </c>
      <c r="C1746" s="5" t="s">
        <v>21</v>
      </c>
      <c r="D1746" s="4" t="str">
        <f>"李娇"</f>
        <v>李娇</v>
      </c>
      <c r="E1746" s="4" t="str">
        <f t="shared" si="162"/>
        <v>女</v>
      </c>
    </row>
    <row r="1747" customHeight="1" spans="1:5">
      <c r="A1747" s="4">
        <v>1745</v>
      </c>
      <c r="B1747" s="4" t="str">
        <f>"431720220812124752244201"</f>
        <v>431720220812124752244201</v>
      </c>
      <c r="C1747" s="5" t="s">
        <v>21</v>
      </c>
      <c r="D1747" s="4" t="str">
        <f>"王鹏"</f>
        <v>王鹏</v>
      </c>
      <c r="E1747" s="4" t="str">
        <f>"男"</f>
        <v>男</v>
      </c>
    </row>
    <row r="1748" customHeight="1" spans="1:5">
      <c r="A1748" s="4">
        <v>1746</v>
      </c>
      <c r="B1748" s="4" t="str">
        <f>"431720220812153214244383"</f>
        <v>431720220812153214244383</v>
      </c>
      <c r="C1748" s="5" t="s">
        <v>21</v>
      </c>
      <c r="D1748" s="4" t="str">
        <f>"万火玉"</f>
        <v>万火玉</v>
      </c>
      <c r="E1748" s="4" t="str">
        <f t="shared" ref="E1748:E1768" si="163">"女"</f>
        <v>女</v>
      </c>
    </row>
    <row r="1749" customHeight="1" spans="1:5">
      <c r="A1749" s="4">
        <v>1747</v>
      </c>
      <c r="B1749" s="4" t="str">
        <f>"431720220806101053231412"</f>
        <v>431720220806101053231412</v>
      </c>
      <c r="C1749" s="5" t="s">
        <v>22</v>
      </c>
      <c r="D1749" s="4" t="str">
        <f>"陈淑娇"</f>
        <v>陈淑娇</v>
      </c>
      <c r="E1749" s="4" t="str">
        <f t="shared" si="163"/>
        <v>女</v>
      </c>
    </row>
    <row r="1750" customHeight="1" spans="1:5">
      <c r="A1750" s="4">
        <v>1748</v>
      </c>
      <c r="B1750" s="4" t="str">
        <f>"431720220806114749231717"</f>
        <v>431720220806114749231717</v>
      </c>
      <c r="C1750" s="5" t="s">
        <v>22</v>
      </c>
      <c r="D1750" s="4" t="str">
        <f>"符利婷"</f>
        <v>符利婷</v>
      </c>
      <c r="E1750" s="4" t="str">
        <f t="shared" si="163"/>
        <v>女</v>
      </c>
    </row>
    <row r="1751" customHeight="1" spans="1:5">
      <c r="A1751" s="4">
        <v>1749</v>
      </c>
      <c r="B1751" s="4" t="str">
        <f>"431720220806121117231783"</f>
        <v>431720220806121117231783</v>
      </c>
      <c r="C1751" s="5" t="s">
        <v>22</v>
      </c>
      <c r="D1751" s="4" t="str">
        <f>"李丽芳"</f>
        <v>李丽芳</v>
      </c>
      <c r="E1751" s="4" t="str">
        <f t="shared" si="163"/>
        <v>女</v>
      </c>
    </row>
    <row r="1752" customHeight="1" spans="1:5">
      <c r="A1752" s="4">
        <v>1750</v>
      </c>
      <c r="B1752" s="4" t="str">
        <f>"431720220806130726231933"</f>
        <v>431720220806130726231933</v>
      </c>
      <c r="C1752" s="5" t="s">
        <v>22</v>
      </c>
      <c r="D1752" s="4" t="str">
        <f>"林小妹"</f>
        <v>林小妹</v>
      </c>
      <c r="E1752" s="4" t="str">
        <f t="shared" si="163"/>
        <v>女</v>
      </c>
    </row>
    <row r="1753" customHeight="1" spans="1:5">
      <c r="A1753" s="4">
        <v>1751</v>
      </c>
      <c r="B1753" s="4" t="str">
        <f>"431720220806131050231949"</f>
        <v>431720220806131050231949</v>
      </c>
      <c r="C1753" s="5" t="s">
        <v>22</v>
      </c>
      <c r="D1753" s="4" t="str">
        <f>"何娇"</f>
        <v>何娇</v>
      </c>
      <c r="E1753" s="4" t="str">
        <f t="shared" si="163"/>
        <v>女</v>
      </c>
    </row>
    <row r="1754" customHeight="1" spans="1:5">
      <c r="A1754" s="4">
        <v>1752</v>
      </c>
      <c r="B1754" s="4" t="str">
        <f>"431720220806155634232290"</f>
        <v>431720220806155634232290</v>
      </c>
      <c r="C1754" s="5" t="s">
        <v>22</v>
      </c>
      <c r="D1754" s="4" t="str">
        <f>"陈璧莹"</f>
        <v>陈璧莹</v>
      </c>
      <c r="E1754" s="4" t="str">
        <f t="shared" si="163"/>
        <v>女</v>
      </c>
    </row>
    <row r="1755" customHeight="1" spans="1:5">
      <c r="A1755" s="4">
        <v>1753</v>
      </c>
      <c r="B1755" s="4" t="str">
        <f>"431720220806162025232340"</f>
        <v>431720220806162025232340</v>
      </c>
      <c r="C1755" s="5" t="s">
        <v>22</v>
      </c>
      <c r="D1755" s="4" t="str">
        <f>"郭艳"</f>
        <v>郭艳</v>
      </c>
      <c r="E1755" s="4" t="str">
        <f t="shared" si="163"/>
        <v>女</v>
      </c>
    </row>
    <row r="1756" customHeight="1" spans="1:5">
      <c r="A1756" s="4">
        <v>1754</v>
      </c>
      <c r="B1756" s="4" t="str">
        <f>"431720220806172204232467"</f>
        <v>431720220806172204232467</v>
      </c>
      <c r="C1756" s="5" t="s">
        <v>22</v>
      </c>
      <c r="D1756" s="4" t="str">
        <f>"李雨娜"</f>
        <v>李雨娜</v>
      </c>
      <c r="E1756" s="4" t="str">
        <f t="shared" si="163"/>
        <v>女</v>
      </c>
    </row>
    <row r="1757" customHeight="1" spans="1:5">
      <c r="A1757" s="4">
        <v>1755</v>
      </c>
      <c r="B1757" s="4" t="str">
        <f>"431720220806175547232523"</f>
        <v>431720220806175547232523</v>
      </c>
      <c r="C1757" s="5" t="s">
        <v>22</v>
      </c>
      <c r="D1757" s="4" t="str">
        <f>"金雅丽"</f>
        <v>金雅丽</v>
      </c>
      <c r="E1757" s="4" t="str">
        <f t="shared" si="163"/>
        <v>女</v>
      </c>
    </row>
    <row r="1758" customHeight="1" spans="1:5">
      <c r="A1758" s="4">
        <v>1756</v>
      </c>
      <c r="B1758" s="4" t="str">
        <f>"431720220806182107232551"</f>
        <v>431720220806182107232551</v>
      </c>
      <c r="C1758" s="5" t="s">
        <v>22</v>
      </c>
      <c r="D1758" s="4" t="str">
        <f>"张沐淋"</f>
        <v>张沐淋</v>
      </c>
      <c r="E1758" s="4" t="str">
        <f t="shared" si="163"/>
        <v>女</v>
      </c>
    </row>
    <row r="1759" customHeight="1" spans="1:5">
      <c r="A1759" s="4">
        <v>1757</v>
      </c>
      <c r="B1759" s="4" t="str">
        <f>"431720220806190813232590"</f>
        <v>431720220806190813232590</v>
      </c>
      <c r="C1759" s="5" t="s">
        <v>22</v>
      </c>
      <c r="D1759" s="4" t="str">
        <f>"刘婧"</f>
        <v>刘婧</v>
      </c>
      <c r="E1759" s="4" t="str">
        <f t="shared" si="163"/>
        <v>女</v>
      </c>
    </row>
    <row r="1760" customHeight="1" spans="1:5">
      <c r="A1760" s="4">
        <v>1758</v>
      </c>
      <c r="B1760" s="4" t="str">
        <f>"431720220807104127233048"</f>
        <v>431720220807104127233048</v>
      </c>
      <c r="C1760" s="5" t="s">
        <v>22</v>
      </c>
      <c r="D1760" s="4" t="str">
        <f>"李贵凤"</f>
        <v>李贵凤</v>
      </c>
      <c r="E1760" s="4" t="str">
        <f t="shared" si="163"/>
        <v>女</v>
      </c>
    </row>
    <row r="1761" customHeight="1" spans="1:5">
      <c r="A1761" s="4">
        <v>1759</v>
      </c>
      <c r="B1761" s="4" t="str">
        <f>"431720220807212441233594"</f>
        <v>431720220807212441233594</v>
      </c>
      <c r="C1761" s="5" t="s">
        <v>22</v>
      </c>
      <c r="D1761" s="4" t="str">
        <f>"陈虹蓓"</f>
        <v>陈虹蓓</v>
      </c>
      <c r="E1761" s="4" t="str">
        <f t="shared" si="163"/>
        <v>女</v>
      </c>
    </row>
    <row r="1762" customHeight="1" spans="1:5">
      <c r="A1762" s="4">
        <v>1760</v>
      </c>
      <c r="B1762" s="4" t="str">
        <f>"431720220808090614234014"</f>
        <v>431720220808090614234014</v>
      </c>
      <c r="C1762" s="5" t="s">
        <v>22</v>
      </c>
      <c r="D1762" s="4" t="str">
        <f>"高珂"</f>
        <v>高珂</v>
      </c>
      <c r="E1762" s="4" t="str">
        <f t="shared" si="163"/>
        <v>女</v>
      </c>
    </row>
    <row r="1763" customHeight="1" spans="1:5">
      <c r="A1763" s="4">
        <v>1761</v>
      </c>
      <c r="B1763" s="4" t="str">
        <f>"431720220808120049235064"</f>
        <v>431720220808120049235064</v>
      </c>
      <c r="C1763" s="5" t="s">
        <v>22</v>
      </c>
      <c r="D1763" s="4" t="str">
        <f>"邢维靖"</f>
        <v>邢维靖</v>
      </c>
      <c r="E1763" s="4" t="str">
        <f t="shared" si="163"/>
        <v>女</v>
      </c>
    </row>
    <row r="1764" customHeight="1" spans="1:5">
      <c r="A1764" s="4">
        <v>1762</v>
      </c>
      <c r="B1764" s="4" t="str">
        <f>"431720220808141756235466"</f>
        <v>431720220808141756235466</v>
      </c>
      <c r="C1764" s="5" t="s">
        <v>22</v>
      </c>
      <c r="D1764" s="4" t="str">
        <f>"刘秋颖"</f>
        <v>刘秋颖</v>
      </c>
      <c r="E1764" s="4" t="str">
        <f t="shared" si="163"/>
        <v>女</v>
      </c>
    </row>
    <row r="1765" customHeight="1" spans="1:5">
      <c r="A1765" s="4">
        <v>1763</v>
      </c>
      <c r="B1765" s="4" t="str">
        <f>"431720220808231106236901"</f>
        <v>431720220808231106236901</v>
      </c>
      <c r="C1765" s="5" t="s">
        <v>22</v>
      </c>
      <c r="D1765" s="4" t="str">
        <f>"吴金琼"</f>
        <v>吴金琼</v>
      </c>
      <c r="E1765" s="4" t="str">
        <f t="shared" si="163"/>
        <v>女</v>
      </c>
    </row>
    <row r="1766" customHeight="1" spans="1:5">
      <c r="A1766" s="4">
        <v>1764</v>
      </c>
      <c r="B1766" s="4" t="str">
        <f>"431720220809144841238078"</f>
        <v>431720220809144841238078</v>
      </c>
      <c r="C1766" s="5" t="s">
        <v>22</v>
      </c>
      <c r="D1766" s="4" t="str">
        <f>"陈会"</f>
        <v>陈会</v>
      </c>
      <c r="E1766" s="4" t="str">
        <f t="shared" si="163"/>
        <v>女</v>
      </c>
    </row>
    <row r="1767" customHeight="1" spans="1:5">
      <c r="A1767" s="4">
        <v>1765</v>
      </c>
      <c r="B1767" s="4" t="str">
        <f>"431720220809203718238807"</f>
        <v>431720220809203718238807</v>
      </c>
      <c r="C1767" s="5" t="s">
        <v>22</v>
      </c>
      <c r="D1767" s="4" t="str">
        <f>"杨妹妹"</f>
        <v>杨妹妹</v>
      </c>
      <c r="E1767" s="4" t="str">
        <f t="shared" si="163"/>
        <v>女</v>
      </c>
    </row>
    <row r="1768" customHeight="1" spans="1:5">
      <c r="A1768" s="4">
        <v>1766</v>
      </c>
      <c r="B1768" s="4" t="str">
        <f>"431720220810111625239896"</f>
        <v>431720220810111625239896</v>
      </c>
      <c r="C1768" s="5" t="s">
        <v>22</v>
      </c>
      <c r="D1768" s="4" t="str">
        <f>"张妮"</f>
        <v>张妮</v>
      </c>
      <c r="E1768" s="4" t="str">
        <f t="shared" si="163"/>
        <v>女</v>
      </c>
    </row>
    <row r="1769" customHeight="1" spans="1:5">
      <c r="A1769" s="4">
        <v>1767</v>
      </c>
      <c r="B1769" s="4" t="str">
        <f>"431720220810161147240711"</f>
        <v>431720220810161147240711</v>
      </c>
      <c r="C1769" s="5" t="s">
        <v>22</v>
      </c>
      <c r="D1769" s="4" t="str">
        <f>"潘在文"</f>
        <v>潘在文</v>
      </c>
      <c r="E1769" s="4" t="str">
        <f>"男"</f>
        <v>男</v>
      </c>
    </row>
    <row r="1770" customHeight="1" spans="1:5">
      <c r="A1770" s="4">
        <v>1768</v>
      </c>
      <c r="B1770" s="4" t="str">
        <f>"431720220811110652242426"</f>
        <v>431720220811110652242426</v>
      </c>
      <c r="C1770" s="5" t="s">
        <v>22</v>
      </c>
      <c r="D1770" s="4" t="str">
        <f>"陈珊珊"</f>
        <v>陈珊珊</v>
      </c>
      <c r="E1770" s="4" t="str">
        <f t="shared" ref="E1770:E1782" si="164">"女"</f>
        <v>女</v>
      </c>
    </row>
    <row r="1771" customHeight="1" spans="1:5">
      <c r="A1771" s="4">
        <v>1769</v>
      </c>
      <c r="B1771" s="4" t="str">
        <f>"431720220811174411243516"</f>
        <v>431720220811174411243516</v>
      </c>
      <c r="C1771" s="5" t="s">
        <v>22</v>
      </c>
      <c r="D1771" s="4" t="str">
        <f>"卢珊珊"</f>
        <v>卢珊珊</v>
      </c>
      <c r="E1771" s="4" t="str">
        <f t="shared" si="164"/>
        <v>女</v>
      </c>
    </row>
    <row r="1772" customHeight="1" spans="1:5">
      <c r="A1772" s="4">
        <v>1770</v>
      </c>
      <c r="B1772" s="4" t="str">
        <f>"431720220811193632243577"</f>
        <v>431720220811193632243577</v>
      </c>
      <c r="C1772" s="5" t="s">
        <v>22</v>
      </c>
      <c r="D1772" s="4" t="str">
        <f>"翁利燕"</f>
        <v>翁利燕</v>
      </c>
      <c r="E1772" s="4" t="str">
        <f t="shared" si="164"/>
        <v>女</v>
      </c>
    </row>
    <row r="1773" customHeight="1" spans="1:5">
      <c r="A1773" s="4">
        <v>1771</v>
      </c>
      <c r="B1773" s="4" t="str">
        <f>"431720220811211621243631"</f>
        <v>431720220811211621243631</v>
      </c>
      <c r="C1773" s="5" t="s">
        <v>22</v>
      </c>
      <c r="D1773" s="4" t="str">
        <f>"吴李和"</f>
        <v>吴李和</v>
      </c>
      <c r="E1773" s="4" t="str">
        <f t="shared" si="164"/>
        <v>女</v>
      </c>
    </row>
    <row r="1774" customHeight="1" spans="1:5">
      <c r="A1774" s="4">
        <v>1772</v>
      </c>
      <c r="B1774" s="4" t="str">
        <f>"431720220811225700243701"</f>
        <v>431720220811225700243701</v>
      </c>
      <c r="C1774" s="5" t="s">
        <v>22</v>
      </c>
      <c r="D1774" s="4" t="str">
        <f>"潘可欣"</f>
        <v>潘可欣</v>
      </c>
      <c r="E1774" s="4" t="str">
        <f t="shared" si="164"/>
        <v>女</v>
      </c>
    </row>
    <row r="1775" customHeight="1" spans="1:5">
      <c r="A1775" s="4">
        <v>1773</v>
      </c>
      <c r="B1775" s="4" t="str">
        <f>"431720220812001927243744"</f>
        <v>431720220812001927243744</v>
      </c>
      <c r="C1775" s="5" t="s">
        <v>22</v>
      </c>
      <c r="D1775" s="4" t="str">
        <f>"黄慧倩"</f>
        <v>黄慧倩</v>
      </c>
      <c r="E1775" s="4" t="str">
        <f t="shared" si="164"/>
        <v>女</v>
      </c>
    </row>
    <row r="1776" customHeight="1" spans="1:5">
      <c r="A1776" s="4">
        <v>1774</v>
      </c>
      <c r="B1776" s="4" t="str">
        <f>"431720220812082721243792"</f>
        <v>431720220812082721243792</v>
      </c>
      <c r="C1776" s="5" t="s">
        <v>22</v>
      </c>
      <c r="D1776" s="4" t="str">
        <f>"王柳之"</f>
        <v>王柳之</v>
      </c>
      <c r="E1776" s="4" t="str">
        <f t="shared" si="164"/>
        <v>女</v>
      </c>
    </row>
    <row r="1777" customHeight="1" spans="1:5">
      <c r="A1777" s="4">
        <v>1775</v>
      </c>
      <c r="B1777" s="4" t="str">
        <f>"431720220812102659243981"</f>
        <v>431720220812102659243981</v>
      </c>
      <c r="C1777" s="5" t="s">
        <v>22</v>
      </c>
      <c r="D1777" s="4" t="str">
        <f>"关晶晶"</f>
        <v>关晶晶</v>
      </c>
      <c r="E1777" s="4" t="str">
        <f t="shared" si="164"/>
        <v>女</v>
      </c>
    </row>
    <row r="1778" customHeight="1" spans="1:5">
      <c r="A1778" s="4">
        <v>1776</v>
      </c>
      <c r="B1778" s="4" t="str">
        <f>"431720220812120646244149"</f>
        <v>431720220812120646244149</v>
      </c>
      <c r="C1778" s="5" t="s">
        <v>22</v>
      </c>
      <c r="D1778" s="4" t="str">
        <f>"张慧蓥"</f>
        <v>张慧蓥</v>
      </c>
      <c r="E1778" s="4" t="str">
        <f t="shared" si="164"/>
        <v>女</v>
      </c>
    </row>
    <row r="1779" customHeight="1" spans="1:5">
      <c r="A1779" s="4">
        <v>1777</v>
      </c>
      <c r="B1779" s="4" t="str">
        <f>"431720220812122125244171"</f>
        <v>431720220812122125244171</v>
      </c>
      <c r="C1779" s="5" t="s">
        <v>22</v>
      </c>
      <c r="D1779" s="4" t="str">
        <f>"蒙超莹"</f>
        <v>蒙超莹</v>
      </c>
      <c r="E1779" s="4" t="str">
        <f t="shared" si="164"/>
        <v>女</v>
      </c>
    </row>
    <row r="1780" customHeight="1" spans="1:5">
      <c r="A1780" s="4">
        <v>1778</v>
      </c>
      <c r="B1780" s="4" t="str">
        <f>"431720220812152423244373"</f>
        <v>431720220812152423244373</v>
      </c>
      <c r="C1780" s="5" t="s">
        <v>22</v>
      </c>
      <c r="D1780" s="4" t="str">
        <f>"洪钰"</f>
        <v>洪钰</v>
      </c>
      <c r="E1780" s="4" t="str">
        <f t="shared" si="164"/>
        <v>女</v>
      </c>
    </row>
    <row r="1781" customHeight="1" spans="1:5">
      <c r="A1781" s="4">
        <v>1779</v>
      </c>
      <c r="B1781" s="4" t="str">
        <f>"431720220812162858244470"</f>
        <v>431720220812162858244470</v>
      </c>
      <c r="C1781" s="5" t="s">
        <v>22</v>
      </c>
      <c r="D1781" s="4" t="str">
        <f>"林观华"</f>
        <v>林观华</v>
      </c>
      <c r="E1781" s="4" t="str">
        <f t="shared" si="164"/>
        <v>女</v>
      </c>
    </row>
    <row r="1782" customHeight="1" spans="1:5">
      <c r="A1782" s="4">
        <v>1780</v>
      </c>
      <c r="B1782" s="4" t="str">
        <f>"431720220806111845231629"</f>
        <v>431720220806111845231629</v>
      </c>
      <c r="C1782" s="5" t="s">
        <v>23</v>
      </c>
      <c r="D1782" s="4" t="str">
        <f>"林俞禾"</f>
        <v>林俞禾</v>
      </c>
      <c r="E1782" s="4" t="str">
        <f t="shared" si="164"/>
        <v>女</v>
      </c>
    </row>
    <row r="1783" customHeight="1" spans="1:5">
      <c r="A1783" s="4">
        <v>1781</v>
      </c>
      <c r="B1783" s="4" t="str">
        <f>"431720220806120827231775"</f>
        <v>431720220806120827231775</v>
      </c>
      <c r="C1783" s="5" t="s">
        <v>23</v>
      </c>
      <c r="D1783" s="4" t="str">
        <f>"陈孟年"</f>
        <v>陈孟年</v>
      </c>
      <c r="E1783" s="4" t="str">
        <f t="shared" ref="E1783:E1787" si="165">"男"</f>
        <v>男</v>
      </c>
    </row>
    <row r="1784" customHeight="1" spans="1:5">
      <c r="A1784" s="4">
        <v>1782</v>
      </c>
      <c r="B1784" s="4" t="str">
        <f>"431720220806174051232500"</f>
        <v>431720220806174051232500</v>
      </c>
      <c r="C1784" s="5" t="s">
        <v>23</v>
      </c>
      <c r="D1784" s="4" t="str">
        <f>"蔡癸肖"</f>
        <v>蔡癸肖</v>
      </c>
      <c r="E1784" s="4" t="str">
        <f>"女"</f>
        <v>女</v>
      </c>
    </row>
    <row r="1785" customHeight="1" spans="1:5">
      <c r="A1785" s="4">
        <v>1783</v>
      </c>
      <c r="B1785" s="4" t="str">
        <f>"431720220806185432232581"</f>
        <v>431720220806185432232581</v>
      </c>
      <c r="C1785" s="5" t="s">
        <v>23</v>
      </c>
      <c r="D1785" s="4" t="str">
        <f>"王民政"</f>
        <v>王民政</v>
      </c>
      <c r="E1785" s="4" t="str">
        <f t="shared" si="165"/>
        <v>男</v>
      </c>
    </row>
    <row r="1786" customHeight="1" spans="1:5">
      <c r="A1786" s="4">
        <v>1784</v>
      </c>
      <c r="B1786" s="4" t="str">
        <f>"431720220807094452232982"</f>
        <v>431720220807094452232982</v>
      </c>
      <c r="C1786" s="5" t="s">
        <v>23</v>
      </c>
      <c r="D1786" s="4" t="str">
        <f>"符贻钦"</f>
        <v>符贻钦</v>
      </c>
      <c r="E1786" s="4" t="str">
        <f t="shared" si="165"/>
        <v>男</v>
      </c>
    </row>
    <row r="1787" customHeight="1" spans="1:5">
      <c r="A1787" s="4">
        <v>1785</v>
      </c>
      <c r="B1787" s="4" t="str">
        <f>"431720220807102600233030"</f>
        <v>431720220807102600233030</v>
      </c>
      <c r="C1787" s="5" t="s">
        <v>23</v>
      </c>
      <c r="D1787" s="4" t="str">
        <f>"王建朝"</f>
        <v>王建朝</v>
      </c>
      <c r="E1787" s="4" t="str">
        <f t="shared" si="165"/>
        <v>男</v>
      </c>
    </row>
    <row r="1788" customHeight="1" spans="1:5">
      <c r="A1788" s="4">
        <v>1786</v>
      </c>
      <c r="B1788" s="4" t="str">
        <f>"431720220807140743233239"</f>
        <v>431720220807140743233239</v>
      </c>
      <c r="C1788" s="5" t="s">
        <v>23</v>
      </c>
      <c r="D1788" s="4" t="str">
        <f>"郑宏巧"</f>
        <v>郑宏巧</v>
      </c>
      <c r="E1788" s="4" t="str">
        <f>"女"</f>
        <v>女</v>
      </c>
    </row>
    <row r="1789" customHeight="1" spans="1:5">
      <c r="A1789" s="4">
        <v>1787</v>
      </c>
      <c r="B1789" s="4" t="str">
        <f>"431720220807201248233547"</f>
        <v>431720220807201248233547</v>
      </c>
      <c r="C1789" s="5" t="s">
        <v>23</v>
      </c>
      <c r="D1789" s="4" t="str">
        <f>"宁可诚"</f>
        <v>宁可诚</v>
      </c>
      <c r="E1789" s="4" t="str">
        <f t="shared" ref="E1789:E1793" si="166">"男"</f>
        <v>男</v>
      </c>
    </row>
    <row r="1790" customHeight="1" spans="1:5">
      <c r="A1790" s="4">
        <v>1788</v>
      </c>
      <c r="B1790" s="4" t="str">
        <f>"431720220807221935233626"</f>
        <v>431720220807221935233626</v>
      </c>
      <c r="C1790" s="5" t="s">
        <v>23</v>
      </c>
      <c r="D1790" s="4" t="str">
        <f>"陈荣善"</f>
        <v>陈荣善</v>
      </c>
      <c r="E1790" s="4" t="str">
        <f t="shared" si="166"/>
        <v>男</v>
      </c>
    </row>
    <row r="1791" customHeight="1" spans="1:5">
      <c r="A1791" s="4">
        <v>1789</v>
      </c>
      <c r="B1791" s="4" t="str">
        <f>"431720220808083608233777"</f>
        <v>431720220808083608233777</v>
      </c>
      <c r="C1791" s="5" t="s">
        <v>23</v>
      </c>
      <c r="D1791" s="4" t="str">
        <f>"林健宇"</f>
        <v>林健宇</v>
      </c>
      <c r="E1791" s="4" t="str">
        <f t="shared" si="166"/>
        <v>男</v>
      </c>
    </row>
    <row r="1792" customHeight="1" spans="1:5">
      <c r="A1792" s="4">
        <v>1790</v>
      </c>
      <c r="B1792" s="4" t="str">
        <f>"431720220808093226234244"</f>
        <v>431720220808093226234244</v>
      </c>
      <c r="C1792" s="5" t="s">
        <v>23</v>
      </c>
      <c r="D1792" s="4" t="str">
        <f>"林硕"</f>
        <v>林硕</v>
      </c>
      <c r="E1792" s="4" t="str">
        <f t="shared" si="166"/>
        <v>男</v>
      </c>
    </row>
    <row r="1793" customHeight="1" spans="1:5">
      <c r="A1793" s="4">
        <v>1791</v>
      </c>
      <c r="B1793" s="4" t="str">
        <f>"431720220808122807235165"</f>
        <v>431720220808122807235165</v>
      </c>
      <c r="C1793" s="5" t="s">
        <v>23</v>
      </c>
      <c r="D1793" s="4" t="str">
        <f>"张延明"</f>
        <v>张延明</v>
      </c>
      <c r="E1793" s="4" t="str">
        <f t="shared" si="166"/>
        <v>男</v>
      </c>
    </row>
    <row r="1794" customHeight="1" spans="1:5">
      <c r="A1794" s="4">
        <v>1792</v>
      </c>
      <c r="B1794" s="4" t="str">
        <f>"431720220808181146236204"</f>
        <v>431720220808181146236204</v>
      </c>
      <c r="C1794" s="5" t="s">
        <v>23</v>
      </c>
      <c r="D1794" s="4" t="str">
        <f>"何木养"</f>
        <v>何木养</v>
      </c>
      <c r="E1794" s="4" t="str">
        <f t="shared" ref="E1794:E1799" si="167">"女"</f>
        <v>女</v>
      </c>
    </row>
    <row r="1795" customHeight="1" spans="1:5">
      <c r="A1795" s="4">
        <v>1793</v>
      </c>
      <c r="B1795" s="4" t="str">
        <f>"431720220809133554237960"</f>
        <v>431720220809133554237960</v>
      </c>
      <c r="C1795" s="5" t="s">
        <v>23</v>
      </c>
      <c r="D1795" s="4" t="str">
        <f>"胡涛涛"</f>
        <v>胡涛涛</v>
      </c>
      <c r="E1795" s="4" t="str">
        <f t="shared" ref="E1795:E1800" si="168">"男"</f>
        <v>男</v>
      </c>
    </row>
    <row r="1796" customHeight="1" spans="1:5">
      <c r="A1796" s="4">
        <v>1794</v>
      </c>
      <c r="B1796" s="4" t="str">
        <f>"431720220810112220239916"</f>
        <v>431720220810112220239916</v>
      </c>
      <c r="C1796" s="5" t="s">
        <v>23</v>
      </c>
      <c r="D1796" s="4" t="str">
        <f>"蔡亲桐"</f>
        <v>蔡亲桐</v>
      </c>
      <c r="E1796" s="4" t="str">
        <f t="shared" si="168"/>
        <v>男</v>
      </c>
    </row>
    <row r="1797" customHeight="1" spans="1:5">
      <c r="A1797" s="4">
        <v>1795</v>
      </c>
      <c r="B1797" s="4" t="str">
        <f>"431720220810113703239958"</f>
        <v>431720220810113703239958</v>
      </c>
      <c r="C1797" s="5" t="s">
        <v>23</v>
      </c>
      <c r="D1797" s="4" t="str">
        <f>"王敏"</f>
        <v>王敏</v>
      </c>
      <c r="E1797" s="4" t="str">
        <f t="shared" si="167"/>
        <v>女</v>
      </c>
    </row>
    <row r="1798" customHeight="1" spans="1:5">
      <c r="A1798" s="4">
        <v>1796</v>
      </c>
      <c r="B1798" s="4" t="str">
        <f>"431720220810192924241192"</f>
        <v>431720220810192924241192</v>
      </c>
      <c r="C1798" s="5" t="s">
        <v>23</v>
      </c>
      <c r="D1798" s="4" t="str">
        <f>"许玉琴"</f>
        <v>许玉琴</v>
      </c>
      <c r="E1798" s="4" t="str">
        <f t="shared" si="167"/>
        <v>女</v>
      </c>
    </row>
    <row r="1799" customHeight="1" spans="1:5">
      <c r="A1799" s="4">
        <v>1797</v>
      </c>
      <c r="B1799" s="4" t="str">
        <f>"431720220810201605241292"</f>
        <v>431720220810201605241292</v>
      </c>
      <c r="C1799" s="5" t="s">
        <v>23</v>
      </c>
      <c r="D1799" s="4" t="str">
        <f>"张梦娜"</f>
        <v>张梦娜</v>
      </c>
      <c r="E1799" s="4" t="str">
        <f t="shared" si="167"/>
        <v>女</v>
      </c>
    </row>
    <row r="1800" customHeight="1" spans="1:5">
      <c r="A1800" s="4">
        <v>1798</v>
      </c>
      <c r="B1800" s="4" t="str">
        <f>"431720220810220949241587"</f>
        <v>431720220810220949241587</v>
      </c>
      <c r="C1800" s="5" t="s">
        <v>23</v>
      </c>
      <c r="D1800" s="4" t="str">
        <f>"杜家文"</f>
        <v>杜家文</v>
      </c>
      <c r="E1800" s="4" t="str">
        <f t="shared" si="168"/>
        <v>男</v>
      </c>
    </row>
    <row r="1801" customHeight="1" spans="1:5">
      <c r="A1801" s="4">
        <v>1799</v>
      </c>
      <c r="B1801" s="4" t="str">
        <f>"431720220811002931241776"</f>
        <v>431720220811002931241776</v>
      </c>
      <c r="C1801" s="5" t="s">
        <v>23</v>
      </c>
      <c r="D1801" s="4" t="str">
        <f>"林丹"</f>
        <v>林丹</v>
      </c>
      <c r="E1801" s="4" t="str">
        <f t="shared" ref="E1801:E1805" si="169">"女"</f>
        <v>女</v>
      </c>
    </row>
    <row r="1802" customHeight="1" spans="1:5">
      <c r="A1802" s="4">
        <v>1800</v>
      </c>
      <c r="B1802" s="4" t="str">
        <f>"431720220811101916242278"</f>
        <v>431720220811101916242278</v>
      </c>
      <c r="C1802" s="5" t="s">
        <v>23</v>
      </c>
      <c r="D1802" s="4" t="str">
        <f>"何史编"</f>
        <v>何史编</v>
      </c>
      <c r="E1802" s="4" t="str">
        <f t="shared" ref="E1802:E1806" si="170">"男"</f>
        <v>男</v>
      </c>
    </row>
    <row r="1803" customHeight="1" spans="1:5">
      <c r="A1803" s="4">
        <v>1801</v>
      </c>
      <c r="B1803" s="4" t="str">
        <f>"431720220811105035242388"</f>
        <v>431720220811105035242388</v>
      </c>
      <c r="C1803" s="5" t="s">
        <v>23</v>
      </c>
      <c r="D1803" s="4" t="str">
        <f>"郭凤茹"</f>
        <v>郭凤茹</v>
      </c>
      <c r="E1803" s="4" t="str">
        <f t="shared" si="169"/>
        <v>女</v>
      </c>
    </row>
    <row r="1804" customHeight="1" spans="1:5">
      <c r="A1804" s="4">
        <v>1802</v>
      </c>
      <c r="B1804" s="4" t="str">
        <f>"431720220812094320243894"</f>
        <v>431720220812094320243894</v>
      </c>
      <c r="C1804" s="5" t="s">
        <v>23</v>
      </c>
      <c r="D1804" s="4" t="str">
        <f>"丛浩楠"</f>
        <v>丛浩楠</v>
      </c>
      <c r="E1804" s="4" t="str">
        <f t="shared" si="170"/>
        <v>男</v>
      </c>
    </row>
    <row r="1805" customHeight="1" spans="1:5">
      <c r="A1805" s="4">
        <v>1803</v>
      </c>
      <c r="B1805" s="4" t="str">
        <f>"431720220812131130244232"</f>
        <v>431720220812131130244232</v>
      </c>
      <c r="C1805" s="5" t="s">
        <v>23</v>
      </c>
      <c r="D1805" s="4" t="str">
        <f>"孟巧璞"</f>
        <v>孟巧璞</v>
      </c>
      <c r="E1805" s="4" t="str">
        <f t="shared" si="169"/>
        <v>女</v>
      </c>
    </row>
    <row r="1806" customHeight="1" spans="1:5">
      <c r="A1806" s="4">
        <v>1804</v>
      </c>
      <c r="B1806" s="4" t="str">
        <f>"431720220812144040244317"</f>
        <v>431720220812144040244317</v>
      </c>
      <c r="C1806" s="5" t="s">
        <v>23</v>
      </c>
      <c r="D1806" s="4" t="str">
        <f>"万达"</f>
        <v>万达</v>
      </c>
      <c r="E1806" s="4" t="str">
        <f t="shared" si="170"/>
        <v>男</v>
      </c>
    </row>
    <row r="1807" customHeight="1" spans="1:5">
      <c r="A1807" s="4">
        <v>1805</v>
      </c>
      <c r="B1807" s="4" t="str">
        <f>"431720220812151249244356"</f>
        <v>431720220812151249244356</v>
      </c>
      <c r="C1807" s="5" t="s">
        <v>23</v>
      </c>
      <c r="D1807" s="4" t="str">
        <f>"陈益娇"</f>
        <v>陈益娇</v>
      </c>
      <c r="E1807" s="4" t="str">
        <f t="shared" ref="E1807:E1829" si="171">"女"</f>
        <v>女</v>
      </c>
    </row>
    <row r="1808" customHeight="1" spans="1:5">
      <c r="A1808" s="4">
        <v>1806</v>
      </c>
      <c r="B1808" s="4" t="str">
        <f>"431720220806090732231196"</f>
        <v>431720220806090732231196</v>
      </c>
      <c r="C1808" s="5" t="s">
        <v>24</v>
      </c>
      <c r="D1808" s="4" t="str">
        <f>"吴仪"</f>
        <v>吴仪</v>
      </c>
      <c r="E1808" s="4" t="str">
        <f t="shared" si="171"/>
        <v>女</v>
      </c>
    </row>
    <row r="1809" customHeight="1" spans="1:5">
      <c r="A1809" s="4">
        <v>1807</v>
      </c>
      <c r="B1809" s="4" t="str">
        <f>"431720220806091617231229"</f>
        <v>431720220806091617231229</v>
      </c>
      <c r="C1809" s="5" t="s">
        <v>24</v>
      </c>
      <c r="D1809" s="4" t="str">
        <f>"郑碧琳"</f>
        <v>郑碧琳</v>
      </c>
      <c r="E1809" s="4" t="str">
        <f t="shared" si="171"/>
        <v>女</v>
      </c>
    </row>
    <row r="1810" customHeight="1" spans="1:5">
      <c r="A1810" s="4">
        <v>1808</v>
      </c>
      <c r="B1810" s="4" t="str">
        <f>"431720220806092003231243"</f>
        <v>431720220806092003231243</v>
      </c>
      <c r="C1810" s="5" t="s">
        <v>24</v>
      </c>
      <c r="D1810" s="4" t="str">
        <f>"云雨茵"</f>
        <v>云雨茵</v>
      </c>
      <c r="E1810" s="4" t="str">
        <f t="shared" si="171"/>
        <v>女</v>
      </c>
    </row>
    <row r="1811" customHeight="1" spans="1:5">
      <c r="A1811" s="4">
        <v>1809</v>
      </c>
      <c r="B1811" s="4" t="str">
        <f>"431720220806094228231312"</f>
        <v>431720220806094228231312</v>
      </c>
      <c r="C1811" s="5" t="s">
        <v>24</v>
      </c>
      <c r="D1811" s="4" t="str">
        <f>"陈云娇"</f>
        <v>陈云娇</v>
      </c>
      <c r="E1811" s="4" t="str">
        <f t="shared" si="171"/>
        <v>女</v>
      </c>
    </row>
    <row r="1812" customHeight="1" spans="1:5">
      <c r="A1812" s="4">
        <v>1810</v>
      </c>
      <c r="B1812" s="4" t="str">
        <f>"431720220806095008231346"</f>
        <v>431720220806095008231346</v>
      </c>
      <c r="C1812" s="5" t="s">
        <v>24</v>
      </c>
      <c r="D1812" s="4" t="str">
        <f>"符鲜风"</f>
        <v>符鲜风</v>
      </c>
      <c r="E1812" s="4" t="str">
        <f t="shared" si="171"/>
        <v>女</v>
      </c>
    </row>
    <row r="1813" customHeight="1" spans="1:5">
      <c r="A1813" s="4">
        <v>1811</v>
      </c>
      <c r="B1813" s="4" t="str">
        <f>"431720220806095716231363"</f>
        <v>431720220806095716231363</v>
      </c>
      <c r="C1813" s="5" t="s">
        <v>24</v>
      </c>
      <c r="D1813" s="4" t="str">
        <f>"郭孟娟"</f>
        <v>郭孟娟</v>
      </c>
      <c r="E1813" s="4" t="str">
        <f t="shared" si="171"/>
        <v>女</v>
      </c>
    </row>
    <row r="1814" customHeight="1" spans="1:5">
      <c r="A1814" s="4">
        <v>1812</v>
      </c>
      <c r="B1814" s="4" t="str">
        <f>"431720220806100612231399"</f>
        <v>431720220806100612231399</v>
      </c>
      <c r="C1814" s="5" t="s">
        <v>24</v>
      </c>
      <c r="D1814" s="4" t="str">
        <f>"黎金玲"</f>
        <v>黎金玲</v>
      </c>
      <c r="E1814" s="4" t="str">
        <f t="shared" si="171"/>
        <v>女</v>
      </c>
    </row>
    <row r="1815" customHeight="1" spans="1:5">
      <c r="A1815" s="4">
        <v>1813</v>
      </c>
      <c r="B1815" s="4" t="str">
        <f>"431720220806102117231440"</f>
        <v>431720220806102117231440</v>
      </c>
      <c r="C1815" s="5" t="s">
        <v>24</v>
      </c>
      <c r="D1815" s="4" t="str">
        <f>"万达粉"</f>
        <v>万达粉</v>
      </c>
      <c r="E1815" s="4" t="str">
        <f t="shared" si="171"/>
        <v>女</v>
      </c>
    </row>
    <row r="1816" customHeight="1" spans="1:5">
      <c r="A1816" s="4">
        <v>1814</v>
      </c>
      <c r="B1816" s="4" t="str">
        <f>"431720220806104214231512"</f>
        <v>431720220806104214231512</v>
      </c>
      <c r="C1816" s="5" t="s">
        <v>24</v>
      </c>
      <c r="D1816" s="4" t="str">
        <f>"曾莹莹"</f>
        <v>曾莹莹</v>
      </c>
      <c r="E1816" s="4" t="str">
        <f t="shared" si="171"/>
        <v>女</v>
      </c>
    </row>
    <row r="1817" customHeight="1" spans="1:5">
      <c r="A1817" s="4">
        <v>1815</v>
      </c>
      <c r="B1817" s="4" t="str">
        <f>"431720220806110624231583"</f>
        <v>431720220806110624231583</v>
      </c>
      <c r="C1817" s="5" t="s">
        <v>24</v>
      </c>
      <c r="D1817" s="4" t="str">
        <f>"劳忆诗"</f>
        <v>劳忆诗</v>
      </c>
      <c r="E1817" s="4" t="str">
        <f t="shared" si="171"/>
        <v>女</v>
      </c>
    </row>
    <row r="1818" customHeight="1" spans="1:5">
      <c r="A1818" s="4">
        <v>1816</v>
      </c>
      <c r="B1818" s="4" t="str">
        <f>"431720220806111542231615"</f>
        <v>431720220806111542231615</v>
      </c>
      <c r="C1818" s="5" t="s">
        <v>24</v>
      </c>
      <c r="D1818" s="4" t="str">
        <f>"王舒鸿"</f>
        <v>王舒鸿</v>
      </c>
      <c r="E1818" s="4" t="str">
        <f t="shared" si="171"/>
        <v>女</v>
      </c>
    </row>
    <row r="1819" customHeight="1" spans="1:5">
      <c r="A1819" s="4">
        <v>1817</v>
      </c>
      <c r="B1819" s="4" t="str">
        <f>"431720220806112747231656"</f>
        <v>431720220806112747231656</v>
      </c>
      <c r="C1819" s="5" t="s">
        <v>24</v>
      </c>
      <c r="D1819" s="4" t="str">
        <f>"赵春莹"</f>
        <v>赵春莹</v>
      </c>
      <c r="E1819" s="4" t="str">
        <f t="shared" si="171"/>
        <v>女</v>
      </c>
    </row>
    <row r="1820" customHeight="1" spans="1:5">
      <c r="A1820" s="4">
        <v>1818</v>
      </c>
      <c r="B1820" s="4" t="str">
        <f>"431720220806113500231679"</f>
        <v>431720220806113500231679</v>
      </c>
      <c r="C1820" s="5" t="s">
        <v>24</v>
      </c>
      <c r="D1820" s="4" t="str">
        <f>"王兰田"</f>
        <v>王兰田</v>
      </c>
      <c r="E1820" s="4" t="str">
        <f t="shared" si="171"/>
        <v>女</v>
      </c>
    </row>
    <row r="1821" customHeight="1" spans="1:5">
      <c r="A1821" s="4">
        <v>1819</v>
      </c>
      <c r="B1821" s="4" t="str">
        <f>"431720220806114027231692"</f>
        <v>431720220806114027231692</v>
      </c>
      <c r="C1821" s="5" t="s">
        <v>24</v>
      </c>
      <c r="D1821" s="4" t="str">
        <f>"杨秋月"</f>
        <v>杨秋月</v>
      </c>
      <c r="E1821" s="4" t="str">
        <f t="shared" si="171"/>
        <v>女</v>
      </c>
    </row>
    <row r="1822" customHeight="1" spans="1:5">
      <c r="A1822" s="4">
        <v>1820</v>
      </c>
      <c r="B1822" s="4" t="str">
        <f>"431720220806114801231719"</f>
        <v>431720220806114801231719</v>
      </c>
      <c r="C1822" s="5" t="s">
        <v>24</v>
      </c>
      <c r="D1822" s="4" t="str">
        <f>"陈青慧"</f>
        <v>陈青慧</v>
      </c>
      <c r="E1822" s="4" t="str">
        <f t="shared" si="171"/>
        <v>女</v>
      </c>
    </row>
    <row r="1823" customHeight="1" spans="1:5">
      <c r="A1823" s="4">
        <v>1821</v>
      </c>
      <c r="B1823" s="4" t="str">
        <f>"431720220806121122231784"</f>
        <v>431720220806121122231784</v>
      </c>
      <c r="C1823" s="5" t="s">
        <v>24</v>
      </c>
      <c r="D1823" s="4" t="str">
        <f>"林学桥"</f>
        <v>林学桥</v>
      </c>
      <c r="E1823" s="4" t="str">
        <f t="shared" si="171"/>
        <v>女</v>
      </c>
    </row>
    <row r="1824" customHeight="1" spans="1:5">
      <c r="A1824" s="4">
        <v>1822</v>
      </c>
      <c r="B1824" s="4" t="str">
        <f>"431720220806121244231788"</f>
        <v>431720220806121244231788</v>
      </c>
      <c r="C1824" s="5" t="s">
        <v>24</v>
      </c>
      <c r="D1824" s="4" t="str">
        <f>"梁承教"</f>
        <v>梁承教</v>
      </c>
      <c r="E1824" s="4" t="str">
        <f t="shared" si="171"/>
        <v>女</v>
      </c>
    </row>
    <row r="1825" customHeight="1" spans="1:5">
      <c r="A1825" s="4">
        <v>1823</v>
      </c>
      <c r="B1825" s="4" t="str">
        <f>"431720220806123402231841"</f>
        <v>431720220806123402231841</v>
      </c>
      <c r="C1825" s="5" t="s">
        <v>24</v>
      </c>
      <c r="D1825" s="4" t="str">
        <f>"许小齐"</f>
        <v>许小齐</v>
      </c>
      <c r="E1825" s="4" t="str">
        <f t="shared" si="171"/>
        <v>女</v>
      </c>
    </row>
    <row r="1826" customHeight="1" spans="1:5">
      <c r="A1826" s="4">
        <v>1824</v>
      </c>
      <c r="B1826" s="4" t="str">
        <f>"431720220806130526231932"</f>
        <v>431720220806130526231932</v>
      </c>
      <c r="C1826" s="5" t="s">
        <v>24</v>
      </c>
      <c r="D1826" s="4" t="str">
        <f>"庞小梅"</f>
        <v>庞小梅</v>
      </c>
      <c r="E1826" s="4" t="str">
        <f t="shared" si="171"/>
        <v>女</v>
      </c>
    </row>
    <row r="1827" customHeight="1" spans="1:5">
      <c r="A1827" s="4">
        <v>1825</v>
      </c>
      <c r="B1827" s="4" t="str">
        <f>"431720220806131238231954"</f>
        <v>431720220806131238231954</v>
      </c>
      <c r="C1827" s="5" t="s">
        <v>24</v>
      </c>
      <c r="D1827" s="4" t="str">
        <f>"王海瑜"</f>
        <v>王海瑜</v>
      </c>
      <c r="E1827" s="4" t="str">
        <f t="shared" si="171"/>
        <v>女</v>
      </c>
    </row>
    <row r="1828" customHeight="1" spans="1:5">
      <c r="A1828" s="4">
        <v>1826</v>
      </c>
      <c r="B1828" s="4" t="str">
        <f>"431720220806132323231979"</f>
        <v>431720220806132323231979</v>
      </c>
      <c r="C1828" s="5" t="s">
        <v>24</v>
      </c>
      <c r="D1828" s="4" t="str">
        <f>"李德霞"</f>
        <v>李德霞</v>
      </c>
      <c r="E1828" s="4" t="str">
        <f t="shared" si="171"/>
        <v>女</v>
      </c>
    </row>
    <row r="1829" customHeight="1" spans="1:5">
      <c r="A1829" s="4">
        <v>1827</v>
      </c>
      <c r="B1829" s="4" t="str">
        <f>"431720220806132635231987"</f>
        <v>431720220806132635231987</v>
      </c>
      <c r="C1829" s="5" t="s">
        <v>24</v>
      </c>
      <c r="D1829" s="4" t="str">
        <f>"王燕莹"</f>
        <v>王燕莹</v>
      </c>
      <c r="E1829" s="4" t="str">
        <f t="shared" si="171"/>
        <v>女</v>
      </c>
    </row>
    <row r="1830" customHeight="1" spans="1:5">
      <c r="A1830" s="4">
        <v>1828</v>
      </c>
      <c r="B1830" s="4" t="str">
        <f>"431720220806141012232086"</f>
        <v>431720220806141012232086</v>
      </c>
      <c r="C1830" s="5" t="s">
        <v>24</v>
      </c>
      <c r="D1830" s="4" t="str">
        <f>"王欧"</f>
        <v>王欧</v>
      </c>
      <c r="E1830" s="4" t="str">
        <f>"男"</f>
        <v>男</v>
      </c>
    </row>
    <row r="1831" customHeight="1" spans="1:5">
      <c r="A1831" s="4">
        <v>1829</v>
      </c>
      <c r="B1831" s="4" t="str">
        <f>"431720220806153338232244"</f>
        <v>431720220806153338232244</v>
      </c>
      <c r="C1831" s="5" t="s">
        <v>24</v>
      </c>
      <c r="D1831" s="4" t="str">
        <f>"何益舅"</f>
        <v>何益舅</v>
      </c>
      <c r="E1831" s="4" t="str">
        <f t="shared" ref="E1831:E1841" si="172">"女"</f>
        <v>女</v>
      </c>
    </row>
    <row r="1832" customHeight="1" spans="1:5">
      <c r="A1832" s="4">
        <v>1830</v>
      </c>
      <c r="B1832" s="4" t="str">
        <f>"431720220806153453232248"</f>
        <v>431720220806153453232248</v>
      </c>
      <c r="C1832" s="5" t="s">
        <v>24</v>
      </c>
      <c r="D1832" s="4" t="str">
        <f>"麦亚端"</f>
        <v>麦亚端</v>
      </c>
      <c r="E1832" s="4" t="str">
        <f t="shared" si="172"/>
        <v>女</v>
      </c>
    </row>
    <row r="1833" customHeight="1" spans="1:5">
      <c r="A1833" s="4">
        <v>1831</v>
      </c>
      <c r="B1833" s="4" t="str">
        <f>"431720220806155141232283"</f>
        <v>431720220806155141232283</v>
      </c>
      <c r="C1833" s="5" t="s">
        <v>24</v>
      </c>
      <c r="D1833" s="4" t="str">
        <f>"李海生"</f>
        <v>李海生</v>
      </c>
      <c r="E1833" s="4" t="str">
        <f>"男"</f>
        <v>男</v>
      </c>
    </row>
    <row r="1834" customHeight="1" spans="1:5">
      <c r="A1834" s="4">
        <v>1832</v>
      </c>
      <c r="B1834" s="4" t="str">
        <f>"431720220806160825232322"</f>
        <v>431720220806160825232322</v>
      </c>
      <c r="C1834" s="5" t="s">
        <v>24</v>
      </c>
      <c r="D1834" s="4" t="str">
        <f>"王梦贝"</f>
        <v>王梦贝</v>
      </c>
      <c r="E1834" s="4" t="str">
        <f t="shared" si="172"/>
        <v>女</v>
      </c>
    </row>
    <row r="1835" customHeight="1" spans="1:5">
      <c r="A1835" s="4">
        <v>1833</v>
      </c>
      <c r="B1835" s="4" t="str">
        <f>"431720220806161646232332"</f>
        <v>431720220806161646232332</v>
      </c>
      <c r="C1835" s="5" t="s">
        <v>24</v>
      </c>
      <c r="D1835" s="4" t="str">
        <f>"李小婷"</f>
        <v>李小婷</v>
      </c>
      <c r="E1835" s="4" t="str">
        <f t="shared" si="172"/>
        <v>女</v>
      </c>
    </row>
    <row r="1836" customHeight="1" spans="1:5">
      <c r="A1836" s="4">
        <v>1834</v>
      </c>
      <c r="B1836" s="4" t="str">
        <f>"431720220806162358232348"</f>
        <v>431720220806162358232348</v>
      </c>
      <c r="C1836" s="5" t="s">
        <v>24</v>
      </c>
      <c r="D1836" s="4" t="str">
        <f>"王香梅"</f>
        <v>王香梅</v>
      </c>
      <c r="E1836" s="4" t="str">
        <f t="shared" si="172"/>
        <v>女</v>
      </c>
    </row>
    <row r="1837" customHeight="1" spans="1:5">
      <c r="A1837" s="4">
        <v>1835</v>
      </c>
      <c r="B1837" s="4" t="str">
        <f>"431720220806162610232357"</f>
        <v>431720220806162610232357</v>
      </c>
      <c r="C1837" s="5" t="s">
        <v>24</v>
      </c>
      <c r="D1837" s="4" t="str">
        <f>"曾婆玉"</f>
        <v>曾婆玉</v>
      </c>
      <c r="E1837" s="4" t="str">
        <f t="shared" si="172"/>
        <v>女</v>
      </c>
    </row>
    <row r="1838" customHeight="1" spans="1:5">
      <c r="A1838" s="4">
        <v>1836</v>
      </c>
      <c r="B1838" s="4" t="str">
        <f>"431720220806174150232502"</f>
        <v>431720220806174150232502</v>
      </c>
      <c r="C1838" s="5" t="s">
        <v>24</v>
      </c>
      <c r="D1838" s="4" t="str">
        <f>"蔡似梅"</f>
        <v>蔡似梅</v>
      </c>
      <c r="E1838" s="4" t="str">
        <f t="shared" si="172"/>
        <v>女</v>
      </c>
    </row>
    <row r="1839" customHeight="1" spans="1:5">
      <c r="A1839" s="4">
        <v>1837</v>
      </c>
      <c r="B1839" s="4" t="str">
        <f>"431720220806174724232510"</f>
        <v>431720220806174724232510</v>
      </c>
      <c r="C1839" s="5" t="s">
        <v>24</v>
      </c>
      <c r="D1839" s="4" t="str">
        <f>"李秋月"</f>
        <v>李秋月</v>
      </c>
      <c r="E1839" s="4" t="str">
        <f t="shared" si="172"/>
        <v>女</v>
      </c>
    </row>
    <row r="1840" customHeight="1" spans="1:5">
      <c r="A1840" s="4">
        <v>1838</v>
      </c>
      <c r="B1840" s="4" t="str">
        <f>"431720220806175826232529"</f>
        <v>431720220806175826232529</v>
      </c>
      <c r="C1840" s="5" t="s">
        <v>24</v>
      </c>
      <c r="D1840" s="4" t="str">
        <f>"郭秀春"</f>
        <v>郭秀春</v>
      </c>
      <c r="E1840" s="4" t="str">
        <f t="shared" si="172"/>
        <v>女</v>
      </c>
    </row>
    <row r="1841" customHeight="1" spans="1:5">
      <c r="A1841" s="4">
        <v>1839</v>
      </c>
      <c r="B1841" s="4" t="str">
        <f>"431720220806181331232543"</f>
        <v>431720220806181331232543</v>
      </c>
      <c r="C1841" s="5" t="s">
        <v>24</v>
      </c>
      <c r="D1841" s="4" t="str">
        <f>"王芸"</f>
        <v>王芸</v>
      </c>
      <c r="E1841" s="4" t="str">
        <f t="shared" si="172"/>
        <v>女</v>
      </c>
    </row>
    <row r="1842" customHeight="1" spans="1:5">
      <c r="A1842" s="4">
        <v>1840</v>
      </c>
      <c r="B1842" s="4" t="str">
        <f>"431720220806183939232567"</f>
        <v>431720220806183939232567</v>
      </c>
      <c r="C1842" s="5" t="s">
        <v>24</v>
      </c>
      <c r="D1842" s="4" t="str">
        <f>"梁祖敏"</f>
        <v>梁祖敏</v>
      </c>
      <c r="E1842" s="4" t="str">
        <f>"男"</f>
        <v>男</v>
      </c>
    </row>
    <row r="1843" customHeight="1" spans="1:5">
      <c r="A1843" s="4">
        <v>1841</v>
      </c>
      <c r="B1843" s="4" t="str">
        <f>"431720220806185300232578"</f>
        <v>431720220806185300232578</v>
      </c>
      <c r="C1843" s="5" t="s">
        <v>24</v>
      </c>
      <c r="D1843" s="4" t="str">
        <f>"吴品玲"</f>
        <v>吴品玲</v>
      </c>
      <c r="E1843" s="4" t="str">
        <f t="shared" ref="E1843:E1855" si="173">"女"</f>
        <v>女</v>
      </c>
    </row>
    <row r="1844" customHeight="1" spans="1:5">
      <c r="A1844" s="4">
        <v>1842</v>
      </c>
      <c r="B1844" s="4" t="str">
        <f>"431720220806190943232591"</f>
        <v>431720220806190943232591</v>
      </c>
      <c r="C1844" s="5" t="s">
        <v>24</v>
      </c>
      <c r="D1844" s="4" t="str">
        <f>"黎云婕"</f>
        <v>黎云婕</v>
      </c>
      <c r="E1844" s="4" t="str">
        <f t="shared" si="173"/>
        <v>女</v>
      </c>
    </row>
    <row r="1845" customHeight="1" spans="1:5">
      <c r="A1845" s="4">
        <v>1843</v>
      </c>
      <c r="B1845" s="4" t="str">
        <f>"431720220806193908232626"</f>
        <v>431720220806193908232626</v>
      </c>
      <c r="C1845" s="5" t="s">
        <v>24</v>
      </c>
      <c r="D1845" s="4" t="str">
        <f>"洪琼瑶"</f>
        <v>洪琼瑶</v>
      </c>
      <c r="E1845" s="4" t="str">
        <f t="shared" si="173"/>
        <v>女</v>
      </c>
    </row>
    <row r="1846" customHeight="1" spans="1:5">
      <c r="A1846" s="4">
        <v>1844</v>
      </c>
      <c r="B1846" s="4" t="str">
        <f>"431720220806195329232648"</f>
        <v>431720220806195329232648</v>
      </c>
      <c r="C1846" s="5" t="s">
        <v>24</v>
      </c>
      <c r="D1846" s="4" t="str">
        <f>"杨娜"</f>
        <v>杨娜</v>
      </c>
      <c r="E1846" s="4" t="str">
        <f t="shared" si="173"/>
        <v>女</v>
      </c>
    </row>
    <row r="1847" customHeight="1" spans="1:5">
      <c r="A1847" s="4">
        <v>1845</v>
      </c>
      <c r="B1847" s="4" t="str">
        <f>"431720220806203440232703"</f>
        <v>431720220806203440232703</v>
      </c>
      <c r="C1847" s="5" t="s">
        <v>24</v>
      </c>
      <c r="D1847" s="4" t="str">
        <f>"盘天娜"</f>
        <v>盘天娜</v>
      </c>
      <c r="E1847" s="4" t="str">
        <f t="shared" si="173"/>
        <v>女</v>
      </c>
    </row>
    <row r="1848" customHeight="1" spans="1:5">
      <c r="A1848" s="4">
        <v>1846</v>
      </c>
      <c r="B1848" s="4" t="str">
        <f>"431720220806205835232723"</f>
        <v>431720220806205835232723</v>
      </c>
      <c r="C1848" s="5" t="s">
        <v>24</v>
      </c>
      <c r="D1848" s="4" t="str">
        <f>"曾天婷"</f>
        <v>曾天婷</v>
      </c>
      <c r="E1848" s="4" t="str">
        <f t="shared" si="173"/>
        <v>女</v>
      </c>
    </row>
    <row r="1849" customHeight="1" spans="1:5">
      <c r="A1849" s="4">
        <v>1847</v>
      </c>
      <c r="B1849" s="4" t="str">
        <f>"431720220806210035232727"</f>
        <v>431720220806210035232727</v>
      </c>
      <c r="C1849" s="5" t="s">
        <v>24</v>
      </c>
      <c r="D1849" s="4" t="str">
        <f>"黄柳灵"</f>
        <v>黄柳灵</v>
      </c>
      <c r="E1849" s="4" t="str">
        <f t="shared" si="173"/>
        <v>女</v>
      </c>
    </row>
    <row r="1850" customHeight="1" spans="1:5">
      <c r="A1850" s="4">
        <v>1848</v>
      </c>
      <c r="B1850" s="4" t="str">
        <f>"431720220806214245232766"</f>
        <v>431720220806214245232766</v>
      </c>
      <c r="C1850" s="5" t="s">
        <v>24</v>
      </c>
      <c r="D1850" s="4" t="str">
        <f>"陈琼瓜"</f>
        <v>陈琼瓜</v>
      </c>
      <c r="E1850" s="4" t="str">
        <f t="shared" si="173"/>
        <v>女</v>
      </c>
    </row>
    <row r="1851" customHeight="1" spans="1:5">
      <c r="A1851" s="4">
        <v>1849</v>
      </c>
      <c r="B1851" s="4" t="str">
        <f>"431720220806220341232792"</f>
        <v>431720220806220341232792</v>
      </c>
      <c r="C1851" s="5" t="s">
        <v>24</v>
      </c>
      <c r="D1851" s="4" t="str">
        <f>"符冬霞"</f>
        <v>符冬霞</v>
      </c>
      <c r="E1851" s="4" t="str">
        <f t="shared" si="173"/>
        <v>女</v>
      </c>
    </row>
    <row r="1852" customHeight="1" spans="1:5">
      <c r="A1852" s="4">
        <v>1850</v>
      </c>
      <c r="B1852" s="4" t="str">
        <f>"431720220806222925232813"</f>
        <v>431720220806222925232813</v>
      </c>
      <c r="C1852" s="5" t="s">
        <v>24</v>
      </c>
      <c r="D1852" s="4" t="str">
        <f>"蒙博珍"</f>
        <v>蒙博珍</v>
      </c>
      <c r="E1852" s="4" t="str">
        <f t="shared" si="173"/>
        <v>女</v>
      </c>
    </row>
    <row r="1853" customHeight="1" spans="1:5">
      <c r="A1853" s="4">
        <v>1851</v>
      </c>
      <c r="B1853" s="4" t="str">
        <f>"431720220806223721232819"</f>
        <v>431720220806223721232819</v>
      </c>
      <c r="C1853" s="5" t="s">
        <v>24</v>
      </c>
      <c r="D1853" s="4" t="str">
        <f>"王少玉"</f>
        <v>王少玉</v>
      </c>
      <c r="E1853" s="4" t="str">
        <f t="shared" si="173"/>
        <v>女</v>
      </c>
    </row>
    <row r="1854" customHeight="1" spans="1:5">
      <c r="A1854" s="4">
        <v>1852</v>
      </c>
      <c r="B1854" s="4" t="str">
        <f>"431720220806232738232851"</f>
        <v>431720220806232738232851</v>
      </c>
      <c r="C1854" s="5" t="s">
        <v>24</v>
      </c>
      <c r="D1854" s="4" t="str">
        <f>"王小香"</f>
        <v>王小香</v>
      </c>
      <c r="E1854" s="4" t="str">
        <f t="shared" si="173"/>
        <v>女</v>
      </c>
    </row>
    <row r="1855" customHeight="1" spans="1:5">
      <c r="A1855" s="4">
        <v>1853</v>
      </c>
      <c r="B1855" s="4" t="str">
        <f>"431720220806233520232858"</f>
        <v>431720220806233520232858</v>
      </c>
      <c r="C1855" s="5" t="s">
        <v>24</v>
      </c>
      <c r="D1855" s="4" t="str">
        <f>"王云萍"</f>
        <v>王云萍</v>
      </c>
      <c r="E1855" s="4" t="str">
        <f t="shared" si="173"/>
        <v>女</v>
      </c>
    </row>
    <row r="1856" customHeight="1" spans="1:5">
      <c r="A1856" s="4">
        <v>1854</v>
      </c>
      <c r="B1856" s="4" t="str">
        <f>"431720220807011323232892"</f>
        <v>431720220807011323232892</v>
      </c>
      <c r="C1856" s="5" t="s">
        <v>24</v>
      </c>
      <c r="D1856" s="4" t="str">
        <f>"罗盛通"</f>
        <v>罗盛通</v>
      </c>
      <c r="E1856" s="4" t="str">
        <f>"男"</f>
        <v>男</v>
      </c>
    </row>
    <row r="1857" customHeight="1" spans="1:5">
      <c r="A1857" s="4">
        <v>1855</v>
      </c>
      <c r="B1857" s="4" t="str">
        <f>"431720220807084751232943"</f>
        <v>431720220807084751232943</v>
      </c>
      <c r="C1857" s="5" t="s">
        <v>24</v>
      </c>
      <c r="D1857" s="4" t="str">
        <f>"朱小颖"</f>
        <v>朱小颖</v>
      </c>
      <c r="E1857" s="4" t="str">
        <f t="shared" ref="E1857:E1860" si="174">"女"</f>
        <v>女</v>
      </c>
    </row>
    <row r="1858" customHeight="1" spans="1:5">
      <c r="A1858" s="4">
        <v>1856</v>
      </c>
      <c r="B1858" s="4" t="str">
        <f>"431720220807100349233006"</f>
        <v>431720220807100349233006</v>
      </c>
      <c r="C1858" s="5" t="s">
        <v>24</v>
      </c>
      <c r="D1858" s="4" t="str">
        <f>"朱博妮"</f>
        <v>朱博妮</v>
      </c>
      <c r="E1858" s="4" t="str">
        <f t="shared" si="174"/>
        <v>女</v>
      </c>
    </row>
    <row r="1859" customHeight="1" spans="1:5">
      <c r="A1859" s="4">
        <v>1857</v>
      </c>
      <c r="B1859" s="4" t="str">
        <f>"431720220807100921233014"</f>
        <v>431720220807100921233014</v>
      </c>
      <c r="C1859" s="5" t="s">
        <v>24</v>
      </c>
      <c r="D1859" s="4" t="str">
        <f>"张子燕"</f>
        <v>张子燕</v>
      </c>
      <c r="E1859" s="4" t="str">
        <f t="shared" si="174"/>
        <v>女</v>
      </c>
    </row>
    <row r="1860" customHeight="1" spans="1:5">
      <c r="A1860" s="4">
        <v>1858</v>
      </c>
      <c r="B1860" s="4" t="str">
        <f>"431720220807110612233078"</f>
        <v>431720220807110612233078</v>
      </c>
      <c r="C1860" s="5" t="s">
        <v>24</v>
      </c>
      <c r="D1860" s="4" t="str">
        <f>"薛菊妹"</f>
        <v>薛菊妹</v>
      </c>
      <c r="E1860" s="4" t="str">
        <f t="shared" si="174"/>
        <v>女</v>
      </c>
    </row>
    <row r="1861" customHeight="1" spans="1:5">
      <c r="A1861" s="4">
        <v>1859</v>
      </c>
      <c r="B1861" s="4" t="str">
        <f>"431720220807115225233119"</f>
        <v>431720220807115225233119</v>
      </c>
      <c r="C1861" s="5" t="s">
        <v>24</v>
      </c>
      <c r="D1861" s="4" t="str">
        <f>"翁时岛"</f>
        <v>翁时岛</v>
      </c>
      <c r="E1861" s="4" t="str">
        <f>"男"</f>
        <v>男</v>
      </c>
    </row>
    <row r="1862" customHeight="1" spans="1:5">
      <c r="A1862" s="4">
        <v>1860</v>
      </c>
      <c r="B1862" s="4" t="str">
        <f>"431720220807123051233156"</f>
        <v>431720220807123051233156</v>
      </c>
      <c r="C1862" s="5" t="s">
        <v>24</v>
      </c>
      <c r="D1862" s="4" t="str">
        <f>"徐虹翡"</f>
        <v>徐虹翡</v>
      </c>
      <c r="E1862" s="4" t="str">
        <f t="shared" ref="E1862:E1867" si="175">"女"</f>
        <v>女</v>
      </c>
    </row>
    <row r="1863" customHeight="1" spans="1:5">
      <c r="A1863" s="4">
        <v>1861</v>
      </c>
      <c r="B1863" s="4" t="str">
        <f>"431720220807123227233157"</f>
        <v>431720220807123227233157</v>
      </c>
      <c r="C1863" s="5" t="s">
        <v>24</v>
      </c>
      <c r="D1863" s="4" t="str">
        <f>"陈秋谷"</f>
        <v>陈秋谷</v>
      </c>
      <c r="E1863" s="4" t="str">
        <f t="shared" si="175"/>
        <v>女</v>
      </c>
    </row>
    <row r="1864" customHeight="1" spans="1:5">
      <c r="A1864" s="4">
        <v>1862</v>
      </c>
      <c r="B1864" s="4" t="str">
        <f>"431720220807124016233166"</f>
        <v>431720220807124016233166</v>
      </c>
      <c r="C1864" s="5" t="s">
        <v>24</v>
      </c>
      <c r="D1864" s="4" t="str">
        <f>"谢丽莲"</f>
        <v>谢丽莲</v>
      </c>
      <c r="E1864" s="4" t="str">
        <f t="shared" si="175"/>
        <v>女</v>
      </c>
    </row>
    <row r="1865" customHeight="1" spans="1:5">
      <c r="A1865" s="4">
        <v>1863</v>
      </c>
      <c r="B1865" s="4" t="str">
        <f>"431720220807130542233183"</f>
        <v>431720220807130542233183</v>
      </c>
      <c r="C1865" s="5" t="s">
        <v>24</v>
      </c>
      <c r="D1865" s="4" t="str">
        <f>"林姝含"</f>
        <v>林姝含</v>
      </c>
      <c r="E1865" s="4" t="str">
        <f t="shared" si="175"/>
        <v>女</v>
      </c>
    </row>
    <row r="1866" customHeight="1" spans="1:5">
      <c r="A1866" s="4">
        <v>1864</v>
      </c>
      <c r="B1866" s="4" t="str">
        <f>"431720220807132459233201"</f>
        <v>431720220807132459233201</v>
      </c>
      <c r="C1866" s="5" t="s">
        <v>24</v>
      </c>
      <c r="D1866" s="4" t="str">
        <f>"曾云婷"</f>
        <v>曾云婷</v>
      </c>
      <c r="E1866" s="4" t="str">
        <f t="shared" si="175"/>
        <v>女</v>
      </c>
    </row>
    <row r="1867" customHeight="1" spans="1:5">
      <c r="A1867" s="4">
        <v>1865</v>
      </c>
      <c r="B1867" s="4" t="str">
        <f>"431720220807134734233220"</f>
        <v>431720220807134734233220</v>
      </c>
      <c r="C1867" s="5" t="s">
        <v>24</v>
      </c>
      <c r="D1867" s="4" t="str">
        <f>"钟惠"</f>
        <v>钟惠</v>
      </c>
      <c r="E1867" s="4" t="str">
        <f t="shared" si="175"/>
        <v>女</v>
      </c>
    </row>
    <row r="1868" customHeight="1" spans="1:5">
      <c r="A1868" s="4">
        <v>1866</v>
      </c>
      <c r="B1868" s="4" t="str">
        <f>"431720220807135337233223"</f>
        <v>431720220807135337233223</v>
      </c>
      <c r="C1868" s="5" t="s">
        <v>24</v>
      </c>
      <c r="D1868" s="4" t="str">
        <f>"陈浩雨"</f>
        <v>陈浩雨</v>
      </c>
      <c r="E1868" s="4" t="str">
        <f>"男"</f>
        <v>男</v>
      </c>
    </row>
    <row r="1869" customHeight="1" spans="1:5">
      <c r="A1869" s="4">
        <v>1867</v>
      </c>
      <c r="B1869" s="4" t="str">
        <f>"431720220807142055233256"</f>
        <v>431720220807142055233256</v>
      </c>
      <c r="C1869" s="5" t="s">
        <v>24</v>
      </c>
      <c r="D1869" s="4" t="str">
        <f>"陈爱兰"</f>
        <v>陈爱兰</v>
      </c>
      <c r="E1869" s="4" t="str">
        <f t="shared" ref="E1869:E1875" si="176">"女"</f>
        <v>女</v>
      </c>
    </row>
    <row r="1870" customHeight="1" spans="1:5">
      <c r="A1870" s="4">
        <v>1868</v>
      </c>
      <c r="B1870" s="4" t="str">
        <f>"431720220807144447233275"</f>
        <v>431720220807144447233275</v>
      </c>
      <c r="C1870" s="5" t="s">
        <v>24</v>
      </c>
      <c r="D1870" s="4" t="str">
        <f>"陈木娇"</f>
        <v>陈木娇</v>
      </c>
      <c r="E1870" s="4" t="str">
        <f t="shared" si="176"/>
        <v>女</v>
      </c>
    </row>
    <row r="1871" customHeight="1" spans="1:5">
      <c r="A1871" s="4">
        <v>1869</v>
      </c>
      <c r="B1871" s="4" t="str">
        <f>"431720220807151210233295"</f>
        <v>431720220807151210233295</v>
      </c>
      <c r="C1871" s="5" t="s">
        <v>24</v>
      </c>
      <c r="D1871" s="4" t="str">
        <f>"周林邦"</f>
        <v>周林邦</v>
      </c>
      <c r="E1871" s="4" t="str">
        <f>"男"</f>
        <v>男</v>
      </c>
    </row>
    <row r="1872" customHeight="1" spans="1:5">
      <c r="A1872" s="4">
        <v>1870</v>
      </c>
      <c r="B1872" s="4" t="str">
        <f>"431720220807151351233301"</f>
        <v>431720220807151351233301</v>
      </c>
      <c r="C1872" s="5" t="s">
        <v>24</v>
      </c>
      <c r="D1872" s="4" t="str">
        <f>"黄微"</f>
        <v>黄微</v>
      </c>
      <c r="E1872" s="4" t="str">
        <f t="shared" si="176"/>
        <v>女</v>
      </c>
    </row>
    <row r="1873" customHeight="1" spans="1:5">
      <c r="A1873" s="4">
        <v>1871</v>
      </c>
      <c r="B1873" s="4" t="str">
        <f>"431720220807152244233315"</f>
        <v>431720220807152244233315</v>
      </c>
      <c r="C1873" s="5" t="s">
        <v>24</v>
      </c>
      <c r="D1873" s="4" t="str">
        <f>"陈叶玲"</f>
        <v>陈叶玲</v>
      </c>
      <c r="E1873" s="4" t="str">
        <f t="shared" si="176"/>
        <v>女</v>
      </c>
    </row>
    <row r="1874" customHeight="1" spans="1:5">
      <c r="A1874" s="4">
        <v>1872</v>
      </c>
      <c r="B1874" s="4" t="str">
        <f>"431720220807153346233328"</f>
        <v>431720220807153346233328</v>
      </c>
      <c r="C1874" s="5" t="s">
        <v>24</v>
      </c>
      <c r="D1874" s="4" t="str">
        <f>"符妹弟"</f>
        <v>符妹弟</v>
      </c>
      <c r="E1874" s="4" t="str">
        <f t="shared" si="176"/>
        <v>女</v>
      </c>
    </row>
    <row r="1875" customHeight="1" spans="1:5">
      <c r="A1875" s="4">
        <v>1873</v>
      </c>
      <c r="B1875" s="4" t="str">
        <f>"431720220807153937233333"</f>
        <v>431720220807153937233333</v>
      </c>
      <c r="C1875" s="5" t="s">
        <v>24</v>
      </c>
      <c r="D1875" s="4" t="str">
        <f>"王小香"</f>
        <v>王小香</v>
      </c>
      <c r="E1875" s="4" t="str">
        <f t="shared" si="176"/>
        <v>女</v>
      </c>
    </row>
    <row r="1876" customHeight="1" spans="1:5">
      <c r="A1876" s="4">
        <v>1874</v>
      </c>
      <c r="B1876" s="4" t="str">
        <f>"431720220807154939233347"</f>
        <v>431720220807154939233347</v>
      </c>
      <c r="C1876" s="5" t="s">
        <v>24</v>
      </c>
      <c r="D1876" s="4" t="str">
        <f>"张海帅"</f>
        <v>张海帅</v>
      </c>
      <c r="E1876" s="4" t="str">
        <f>"男"</f>
        <v>男</v>
      </c>
    </row>
    <row r="1877" customHeight="1" spans="1:5">
      <c r="A1877" s="4">
        <v>1875</v>
      </c>
      <c r="B1877" s="4" t="str">
        <f>"431720220807161346233379"</f>
        <v>431720220807161346233379</v>
      </c>
      <c r="C1877" s="5" t="s">
        <v>24</v>
      </c>
      <c r="D1877" s="4" t="str">
        <f>"符振鸾"</f>
        <v>符振鸾</v>
      </c>
      <c r="E1877" s="4" t="str">
        <f t="shared" ref="E1877:E1890" si="177">"女"</f>
        <v>女</v>
      </c>
    </row>
    <row r="1878" customHeight="1" spans="1:5">
      <c r="A1878" s="4">
        <v>1876</v>
      </c>
      <c r="B1878" s="4" t="str">
        <f>"431720220807170503233435"</f>
        <v>431720220807170503233435</v>
      </c>
      <c r="C1878" s="5" t="s">
        <v>24</v>
      </c>
      <c r="D1878" s="4" t="str">
        <f>"李腾爱"</f>
        <v>李腾爱</v>
      </c>
      <c r="E1878" s="4" t="str">
        <f t="shared" si="177"/>
        <v>女</v>
      </c>
    </row>
    <row r="1879" customHeight="1" spans="1:5">
      <c r="A1879" s="4">
        <v>1877</v>
      </c>
      <c r="B1879" s="4" t="str">
        <f>"431720220807171613233445"</f>
        <v>431720220807171613233445</v>
      </c>
      <c r="C1879" s="5" t="s">
        <v>24</v>
      </c>
      <c r="D1879" s="4" t="str">
        <f>"孔风曼"</f>
        <v>孔风曼</v>
      </c>
      <c r="E1879" s="4" t="str">
        <f t="shared" si="177"/>
        <v>女</v>
      </c>
    </row>
    <row r="1880" customHeight="1" spans="1:5">
      <c r="A1880" s="4">
        <v>1878</v>
      </c>
      <c r="B1880" s="4" t="str">
        <f>"431720220807182222233494"</f>
        <v>431720220807182222233494</v>
      </c>
      <c r="C1880" s="5" t="s">
        <v>24</v>
      </c>
      <c r="D1880" s="4" t="str">
        <f>"赵丽"</f>
        <v>赵丽</v>
      </c>
      <c r="E1880" s="4" t="str">
        <f t="shared" si="177"/>
        <v>女</v>
      </c>
    </row>
    <row r="1881" customHeight="1" spans="1:5">
      <c r="A1881" s="4">
        <v>1879</v>
      </c>
      <c r="B1881" s="4" t="str">
        <f>"431720220807182809233498"</f>
        <v>431720220807182809233498</v>
      </c>
      <c r="C1881" s="5" t="s">
        <v>24</v>
      </c>
      <c r="D1881" s="4" t="str">
        <f>"蔡盈盈"</f>
        <v>蔡盈盈</v>
      </c>
      <c r="E1881" s="4" t="str">
        <f t="shared" si="177"/>
        <v>女</v>
      </c>
    </row>
    <row r="1882" customHeight="1" spans="1:5">
      <c r="A1882" s="4">
        <v>1880</v>
      </c>
      <c r="B1882" s="4" t="str">
        <f>"431720220807185510233509"</f>
        <v>431720220807185510233509</v>
      </c>
      <c r="C1882" s="5" t="s">
        <v>24</v>
      </c>
      <c r="D1882" s="4" t="str">
        <f>"何吉花"</f>
        <v>何吉花</v>
      </c>
      <c r="E1882" s="4" t="str">
        <f t="shared" si="177"/>
        <v>女</v>
      </c>
    </row>
    <row r="1883" customHeight="1" spans="1:5">
      <c r="A1883" s="4">
        <v>1881</v>
      </c>
      <c r="B1883" s="4" t="str">
        <f>"431720220807200737233543"</f>
        <v>431720220807200737233543</v>
      </c>
      <c r="C1883" s="5" t="s">
        <v>24</v>
      </c>
      <c r="D1883" s="4" t="str">
        <f>"陶婷婷"</f>
        <v>陶婷婷</v>
      </c>
      <c r="E1883" s="4" t="str">
        <f t="shared" si="177"/>
        <v>女</v>
      </c>
    </row>
    <row r="1884" customHeight="1" spans="1:5">
      <c r="A1884" s="4">
        <v>1882</v>
      </c>
      <c r="B1884" s="4" t="str">
        <f>"431720220807205136233572"</f>
        <v>431720220807205136233572</v>
      </c>
      <c r="C1884" s="5" t="s">
        <v>24</v>
      </c>
      <c r="D1884" s="4" t="str">
        <f>"符美秋"</f>
        <v>符美秋</v>
      </c>
      <c r="E1884" s="4" t="str">
        <f t="shared" si="177"/>
        <v>女</v>
      </c>
    </row>
    <row r="1885" customHeight="1" spans="1:5">
      <c r="A1885" s="4">
        <v>1883</v>
      </c>
      <c r="B1885" s="4" t="str">
        <f>"431720220807210012233578"</f>
        <v>431720220807210012233578</v>
      </c>
      <c r="C1885" s="5" t="s">
        <v>24</v>
      </c>
      <c r="D1885" s="4" t="str">
        <f>"陈玉凤"</f>
        <v>陈玉凤</v>
      </c>
      <c r="E1885" s="4" t="str">
        <f t="shared" si="177"/>
        <v>女</v>
      </c>
    </row>
    <row r="1886" customHeight="1" spans="1:5">
      <c r="A1886" s="4">
        <v>1884</v>
      </c>
      <c r="B1886" s="4" t="str">
        <f>"431720220807212139233592"</f>
        <v>431720220807212139233592</v>
      </c>
      <c r="C1886" s="5" t="s">
        <v>24</v>
      </c>
      <c r="D1886" s="4" t="str">
        <f>"郑博雅"</f>
        <v>郑博雅</v>
      </c>
      <c r="E1886" s="4" t="str">
        <f t="shared" si="177"/>
        <v>女</v>
      </c>
    </row>
    <row r="1887" customHeight="1" spans="1:5">
      <c r="A1887" s="4">
        <v>1885</v>
      </c>
      <c r="B1887" s="4" t="str">
        <f>"431720220807223656233641"</f>
        <v>431720220807223656233641</v>
      </c>
      <c r="C1887" s="5" t="s">
        <v>24</v>
      </c>
      <c r="D1887" s="4" t="str">
        <f>"刘彩莲"</f>
        <v>刘彩莲</v>
      </c>
      <c r="E1887" s="4" t="str">
        <f t="shared" si="177"/>
        <v>女</v>
      </c>
    </row>
    <row r="1888" customHeight="1" spans="1:5">
      <c r="A1888" s="4">
        <v>1886</v>
      </c>
      <c r="B1888" s="4" t="str">
        <f>"431720220807225923233652"</f>
        <v>431720220807225923233652</v>
      </c>
      <c r="C1888" s="5" t="s">
        <v>24</v>
      </c>
      <c r="D1888" s="4" t="str">
        <f>"钟海玉"</f>
        <v>钟海玉</v>
      </c>
      <c r="E1888" s="4" t="str">
        <f t="shared" si="177"/>
        <v>女</v>
      </c>
    </row>
    <row r="1889" customHeight="1" spans="1:5">
      <c r="A1889" s="4">
        <v>1887</v>
      </c>
      <c r="B1889" s="4" t="str">
        <f>"431720220807231434233657"</f>
        <v>431720220807231434233657</v>
      </c>
      <c r="C1889" s="5" t="s">
        <v>24</v>
      </c>
      <c r="D1889" s="4" t="str">
        <f>"王淑玲"</f>
        <v>王淑玲</v>
      </c>
      <c r="E1889" s="4" t="str">
        <f t="shared" si="177"/>
        <v>女</v>
      </c>
    </row>
    <row r="1890" customHeight="1" spans="1:5">
      <c r="A1890" s="4">
        <v>1888</v>
      </c>
      <c r="B1890" s="4" t="str">
        <f>"431720220807233150233667"</f>
        <v>431720220807233150233667</v>
      </c>
      <c r="C1890" s="5" t="s">
        <v>24</v>
      </c>
      <c r="D1890" s="4" t="str">
        <f>"陈德楼"</f>
        <v>陈德楼</v>
      </c>
      <c r="E1890" s="4" t="str">
        <f t="shared" si="177"/>
        <v>女</v>
      </c>
    </row>
    <row r="1891" customHeight="1" spans="1:5">
      <c r="A1891" s="4">
        <v>1889</v>
      </c>
      <c r="B1891" s="4" t="str">
        <f>"431720220808002941233680"</f>
        <v>431720220808002941233680</v>
      </c>
      <c r="C1891" s="5" t="s">
        <v>24</v>
      </c>
      <c r="D1891" s="4" t="str">
        <f>"吴钟龙"</f>
        <v>吴钟龙</v>
      </c>
      <c r="E1891" s="4" t="str">
        <f t="shared" ref="E1891:E1893" si="178">"男"</f>
        <v>男</v>
      </c>
    </row>
    <row r="1892" customHeight="1" spans="1:5">
      <c r="A1892" s="4">
        <v>1890</v>
      </c>
      <c r="B1892" s="4" t="str">
        <f>"431720220808084300233834"</f>
        <v>431720220808084300233834</v>
      </c>
      <c r="C1892" s="5" t="s">
        <v>24</v>
      </c>
      <c r="D1892" s="4" t="str">
        <f>"吴挺川"</f>
        <v>吴挺川</v>
      </c>
      <c r="E1892" s="4" t="str">
        <f t="shared" si="178"/>
        <v>男</v>
      </c>
    </row>
    <row r="1893" customHeight="1" spans="1:5">
      <c r="A1893" s="4">
        <v>1891</v>
      </c>
      <c r="B1893" s="4" t="str">
        <f>"431720220808095140234389"</f>
        <v>431720220808095140234389</v>
      </c>
      <c r="C1893" s="5" t="s">
        <v>24</v>
      </c>
      <c r="D1893" s="4" t="str">
        <f>"朱德誉"</f>
        <v>朱德誉</v>
      </c>
      <c r="E1893" s="4" t="str">
        <f t="shared" si="178"/>
        <v>男</v>
      </c>
    </row>
    <row r="1894" customHeight="1" spans="1:5">
      <c r="A1894" s="4">
        <v>1892</v>
      </c>
      <c r="B1894" s="4" t="str">
        <f>"431720220808095615234425"</f>
        <v>431720220808095615234425</v>
      </c>
      <c r="C1894" s="5" t="s">
        <v>24</v>
      </c>
      <c r="D1894" s="4" t="str">
        <f>"符谷丽"</f>
        <v>符谷丽</v>
      </c>
      <c r="E1894" s="4" t="str">
        <f t="shared" ref="E1894:E1896" si="179">"女"</f>
        <v>女</v>
      </c>
    </row>
    <row r="1895" customHeight="1" spans="1:5">
      <c r="A1895" s="4">
        <v>1893</v>
      </c>
      <c r="B1895" s="4" t="str">
        <f>"431720220808101432234520"</f>
        <v>431720220808101432234520</v>
      </c>
      <c r="C1895" s="5" t="s">
        <v>24</v>
      </c>
      <c r="D1895" s="4" t="str">
        <f>"徐霞"</f>
        <v>徐霞</v>
      </c>
      <c r="E1895" s="4" t="str">
        <f t="shared" si="179"/>
        <v>女</v>
      </c>
    </row>
    <row r="1896" customHeight="1" spans="1:5">
      <c r="A1896" s="4">
        <v>1894</v>
      </c>
      <c r="B1896" s="4" t="str">
        <f>"431720220808104217234706"</f>
        <v>431720220808104217234706</v>
      </c>
      <c r="C1896" s="5" t="s">
        <v>24</v>
      </c>
      <c r="D1896" s="4" t="str">
        <f>"刘思慧"</f>
        <v>刘思慧</v>
      </c>
      <c r="E1896" s="4" t="str">
        <f t="shared" si="179"/>
        <v>女</v>
      </c>
    </row>
    <row r="1897" customHeight="1" spans="1:5">
      <c r="A1897" s="4">
        <v>1895</v>
      </c>
      <c r="B1897" s="4" t="str">
        <f>"431720220808111158234868"</f>
        <v>431720220808111158234868</v>
      </c>
      <c r="C1897" s="5" t="s">
        <v>24</v>
      </c>
      <c r="D1897" s="4" t="str">
        <f>"杨顺"</f>
        <v>杨顺</v>
      </c>
      <c r="E1897" s="4" t="str">
        <f>"男"</f>
        <v>男</v>
      </c>
    </row>
    <row r="1898" customHeight="1" spans="1:5">
      <c r="A1898" s="4">
        <v>1896</v>
      </c>
      <c r="B1898" s="4" t="str">
        <f>"431720220808111439234881"</f>
        <v>431720220808111439234881</v>
      </c>
      <c r="C1898" s="5" t="s">
        <v>24</v>
      </c>
      <c r="D1898" s="4" t="str">
        <f>"朱南吉"</f>
        <v>朱南吉</v>
      </c>
      <c r="E1898" s="4" t="str">
        <f>"男"</f>
        <v>男</v>
      </c>
    </row>
    <row r="1899" customHeight="1" spans="1:5">
      <c r="A1899" s="4">
        <v>1897</v>
      </c>
      <c r="B1899" s="4" t="str">
        <f>"431720220808112401234917"</f>
        <v>431720220808112401234917</v>
      </c>
      <c r="C1899" s="5" t="s">
        <v>24</v>
      </c>
      <c r="D1899" s="4" t="str">
        <f>"李月华"</f>
        <v>李月华</v>
      </c>
      <c r="E1899" s="4" t="str">
        <f t="shared" ref="E1899:E1904" si="180">"女"</f>
        <v>女</v>
      </c>
    </row>
    <row r="1900" customHeight="1" spans="1:5">
      <c r="A1900" s="4">
        <v>1898</v>
      </c>
      <c r="B1900" s="4" t="str">
        <f>"431720220808113346234956"</f>
        <v>431720220808113346234956</v>
      </c>
      <c r="C1900" s="5" t="s">
        <v>24</v>
      </c>
      <c r="D1900" s="4" t="str">
        <f>"朱晓娟"</f>
        <v>朱晓娟</v>
      </c>
      <c r="E1900" s="4" t="str">
        <f t="shared" si="180"/>
        <v>女</v>
      </c>
    </row>
    <row r="1901" customHeight="1" spans="1:5">
      <c r="A1901" s="4">
        <v>1899</v>
      </c>
      <c r="B1901" s="4" t="str">
        <f>"431720220808113831234977"</f>
        <v>431720220808113831234977</v>
      </c>
      <c r="C1901" s="5" t="s">
        <v>24</v>
      </c>
      <c r="D1901" s="4" t="str">
        <f>"陈丽"</f>
        <v>陈丽</v>
      </c>
      <c r="E1901" s="4" t="str">
        <f t="shared" si="180"/>
        <v>女</v>
      </c>
    </row>
    <row r="1902" customHeight="1" spans="1:5">
      <c r="A1902" s="4">
        <v>1900</v>
      </c>
      <c r="B1902" s="4" t="str">
        <f>"431720220808114418234994"</f>
        <v>431720220808114418234994</v>
      </c>
      <c r="C1902" s="5" t="s">
        <v>24</v>
      </c>
      <c r="D1902" s="4" t="str">
        <f>"周焕妹"</f>
        <v>周焕妹</v>
      </c>
      <c r="E1902" s="4" t="str">
        <f t="shared" si="180"/>
        <v>女</v>
      </c>
    </row>
    <row r="1903" customHeight="1" spans="1:5">
      <c r="A1903" s="4">
        <v>1901</v>
      </c>
      <c r="B1903" s="4" t="str">
        <f>"431720220808122537235151"</f>
        <v>431720220808122537235151</v>
      </c>
      <c r="C1903" s="5" t="s">
        <v>24</v>
      </c>
      <c r="D1903" s="4" t="str">
        <f>"王其妮"</f>
        <v>王其妮</v>
      </c>
      <c r="E1903" s="4" t="str">
        <f t="shared" si="180"/>
        <v>女</v>
      </c>
    </row>
    <row r="1904" customHeight="1" spans="1:5">
      <c r="A1904" s="4">
        <v>1902</v>
      </c>
      <c r="B1904" s="4" t="str">
        <f>"431720220808125018235233"</f>
        <v>431720220808125018235233</v>
      </c>
      <c r="C1904" s="5" t="s">
        <v>24</v>
      </c>
      <c r="D1904" s="4" t="str">
        <f>"钟小雪"</f>
        <v>钟小雪</v>
      </c>
      <c r="E1904" s="4" t="str">
        <f t="shared" si="180"/>
        <v>女</v>
      </c>
    </row>
    <row r="1905" customHeight="1" spans="1:5">
      <c r="A1905" s="4">
        <v>1903</v>
      </c>
      <c r="B1905" s="4" t="str">
        <f>"431720220808131525235325"</f>
        <v>431720220808131525235325</v>
      </c>
      <c r="C1905" s="5" t="s">
        <v>24</v>
      </c>
      <c r="D1905" s="4" t="str">
        <f>"梁志鹏"</f>
        <v>梁志鹏</v>
      </c>
      <c r="E1905" s="4" t="str">
        <f>"男"</f>
        <v>男</v>
      </c>
    </row>
    <row r="1906" customHeight="1" spans="1:5">
      <c r="A1906" s="4">
        <v>1904</v>
      </c>
      <c r="B1906" s="4" t="str">
        <f>"431720220808132102235343"</f>
        <v>431720220808132102235343</v>
      </c>
      <c r="C1906" s="5" t="s">
        <v>24</v>
      </c>
      <c r="D1906" s="4" t="str">
        <f>"谢莹莹"</f>
        <v>谢莹莹</v>
      </c>
      <c r="E1906" s="4" t="str">
        <f t="shared" ref="E1906:E1909" si="181">"女"</f>
        <v>女</v>
      </c>
    </row>
    <row r="1907" customHeight="1" spans="1:5">
      <c r="A1907" s="4">
        <v>1905</v>
      </c>
      <c r="B1907" s="4" t="str">
        <f>"431720220808132634235359"</f>
        <v>431720220808132634235359</v>
      </c>
      <c r="C1907" s="5" t="s">
        <v>24</v>
      </c>
      <c r="D1907" s="4" t="str">
        <f>"杜秀翠"</f>
        <v>杜秀翠</v>
      </c>
      <c r="E1907" s="4" t="str">
        <f t="shared" si="181"/>
        <v>女</v>
      </c>
    </row>
    <row r="1908" customHeight="1" spans="1:5">
      <c r="A1908" s="4">
        <v>1906</v>
      </c>
      <c r="B1908" s="4" t="str">
        <f>"431720220808134123235392"</f>
        <v>431720220808134123235392</v>
      </c>
      <c r="C1908" s="5" t="s">
        <v>24</v>
      </c>
      <c r="D1908" s="4" t="str">
        <f>"王允桂"</f>
        <v>王允桂</v>
      </c>
      <c r="E1908" s="4" t="str">
        <f t="shared" si="181"/>
        <v>女</v>
      </c>
    </row>
    <row r="1909" customHeight="1" spans="1:5">
      <c r="A1909" s="4">
        <v>1907</v>
      </c>
      <c r="B1909" s="4" t="str">
        <f>"431720220808141710235462"</f>
        <v>431720220808141710235462</v>
      </c>
      <c r="C1909" s="5" t="s">
        <v>24</v>
      </c>
      <c r="D1909" s="4" t="str">
        <f>"陈孟紫"</f>
        <v>陈孟紫</v>
      </c>
      <c r="E1909" s="4" t="str">
        <f t="shared" si="181"/>
        <v>女</v>
      </c>
    </row>
    <row r="1910" customHeight="1" spans="1:5">
      <c r="A1910" s="4">
        <v>1908</v>
      </c>
      <c r="B1910" s="4" t="str">
        <f>"431720220808152647235689"</f>
        <v>431720220808152647235689</v>
      </c>
      <c r="C1910" s="5" t="s">
        <v>24</v>
      </c>
      <c r="D1910" s="4" t="str">
        <f>"郭枝茂"</f>
        <v>郭枝茂</v>
      </c>
      <c r="E1910" s="4" t="str">
        <f>"男"</f>
        <v>男</v>
      </c>
    </row>
    <row r="1911" customHeight="1" spans="1:5">
      <c r="A1911" s="4">
        <v>1909</v>
      </c>
      <c r="B1911" s="4" t="str">
        <f>"431720220808161406235846"</f>
        <v>431720220808161406235846</v>
      </c>
      <c r="C1911" s="5" t="s">
        <v>24</v>
      </c>
      <c r="D1911" s="4" t="str">
        <f>"林翠平"</f>
        <v>林翠平</v>
      </c>
      <c r="E1911" s="4" t="str">
        <f t="shared" ref="E1911:E1916" si="182">"女"</f>
        <v>女</v>
      </c>
    </row>
    <row r="1912" customHeight="1" spans="1:5">
      <c r="A1912" s="4">
        <v>1910</v>
      </c>
      <c r="B1912" s="4" t="str">
        <f>"431720220808165027235961"</f>
        <v>431720220808165027235961</v>
      </c>
      <c r="C1912" s="5" t="s">
        <v>24</v>
      </c>
      <c r="D1912" s="4" t="str">
        <f>"陆梅芳"</f>
        <v>陆梅芳</v>
      </c>
      <c r="E1912" s="4" t="str">
        <f t="shared" si="182"/>
        <v>女</v>
      </c>
    </row>
    <row r="1913" customHeight="1" spans="1:5">
      <c r="A1913" s="4">
        <v>1911</v>
      </c>
      <c r="B1913" s="4" t="str">
        <f>"431720220808165328235972"</f>
        <v>431720220808165328235972</v>
      </c>
      <c r="C1913" s="5" t="s">
        <v>24</v>
      </c>
      <c r="D1913" s="4" t="str">
        <f>"何桂玉"</f>
        <v>何桂玉</v>
      </c>
      <c r="E1913" s="4" t="str">
        <f t="shared" si="182"/>
        <v>女</v>
      </c>
    </row>
    <row r="1914" customHeight="1" spans="1:5">
      <c r="A1914" s="4">
        <v>1912</v>
      </c>
      <c r="B1914" s="4" t="str">
        <f>"431720220808171629236053"</f>
        <v>431720220808171629236053</v>
      </c>
      <c r="C1914" s="5" t="s">
        <v>24</v>
      </c>
      <c r="D1914" s="4" t="str">
        <f>"郭江霞"</f>
        <v>郭江霞</v>
      </c>
      <c r="E1914" s="4" t="str">
        <f t="shared" si="182"/>
        <v>女</v>
      </c>
    </row>
    <row r="1915" customHeight="1" spans="1:5">
      <c r="A1915" s="4">
        <v>1913</v>
      </c>
      <c r="B1915" s="4" t="str">
        <f>"431720220808172459236082"</f>
        <v>431720220808172459236082</v>
      </c>
      <c r="C1915" s="5" t="s">
        <v>24</v>
      </c>
      <c r="D1915" s="4" t="str">
        <f>"谢思思"</f>
        <v>谢思思</v>
      </c>
      <c r="E1915" s="4" t="str">
        <f t="shared" si="182"/>
        <v>女</v>
      </c>
    </row>
    <row r="1916" customHeight="1" spans="1:5">
      <c r="A1916" s="4">
        <v>1914</v>
      </c>
      <c r="B1916" s="4" t="str">
        <f>"431720220808172658236094"</f>
        <v>431720220808172658236094</v>
      </c>
      <c r="C1916" s="5" t="s">
        <v>24</v>
      </c>
      <c r="D1916" s="4" t="str">
        <f>"何丽鸾"</f>
        <v>何丽鸾</v>
      </c>
      <c r="E1916" s="4" t="str">
        <f t="shared" si="182"/>
        <v>女</v>
      </c>
    </row>
    <row r="1917" customHeight="1" spans="1:5">
      <c r="A1917" s="4">
        <v>1915</v>
      </c>
      <c r="B1917" s="4" t="str">
        <f>"431720220808180109236178"</f>
        <v>431720220808180109236178</v>
      </c>
      <c r="C1917" s="5" t="s">
        <v>24</v>
      </c>
      <c r="D1917" s="4" t="str">
        <f>"王锦钰"</f>
        <v>王锦钰</v>
      </c>
      <c r="E1917" s="4" t="str">
        <f>"男"</f>
        <v>男</v>
      </c>
    </row>
    <row r="1918" customHeight="1" spans="1:5">
      <c r="A1918" s="4">
        <v>1916</v>
      </c>
      <c r="B1918" s="4" t="str">
        <f>"431720220808180243236182"</f>
        <v>431720220808180243236182</v>
      </c>
      <c r="C1918" s="5" t="s">
        <v>24</v>
      </c>
      <c r="D1918" s="4" t="str">
        <f>"冯小蔓"</f>
        <v>冯小蔓</v>
      </c>
      <c r="E1918" s="4" t="str">
        <f t="shared" ref="E1918:E1935" si="183">"女"</f>
        <v>女</v>
      </c>
    </row>
    <row r="1919" customHeight="1" spans="1:5">
      <c r="A1919" s="4">
        <v>1917</v>
      </c>
      <c r="B1919" s="4" t="str">
        <f>"431720220808192831236393"</f>
        <v>431720220808192831236393</v>
      </c>
      <c r="C1919" s="5" t="s">
        <v>24</v>
      </c>
      <c r="D1919" s="4" t="str">
        <f>"蔡彩梅"</f>
        <v>蔡彩梅</v>
      </c>
      <c r="E1919" s="4" t="str">
        <f t="shared" si="183"/>
        <v>女</v>
      </c>
    </row>
    <row r="1920" customHeight="1" spans="1:5">
      <c r="A1920" s="4">
        <v>1918</v>
      </c>
      <c r="B1920" s="4" t="str">
        <f>"431720220808200544236474"</f>
        <v>431720220808200544236474</v>
      </c>
      <c r="C1920" s="5" t="s">
        <v>24</v>
      </c>
      <c r="D1920" s="4" t="str">
        <f>"陈承凤"</f>
        <v>陈承凤</v>
      </c>
      <c r="E1920" s="4" t="str">
        <f t="shared" si="183"/>
        <v>女</v>
      </c>
    </row>
    <row r="1921" customHeight="1" spans="1:5">
      <c r="A1921" s="4">
        <v>1919</v>
      </c>
      <c r="B1921" s="4" t="str">
        <f>"431720220808203740236571"</f>
        <v>431720220808203740236571</v>
      </c>
      <c r="C1921" s="5" t="s">
        <v>24</v>
      </c>
      <c r="D1921" s="4" t="str">
        <f>"林福曲"</f>
        <v>林福曲</v>
      </c>
      <c r="E1921" s="4" t="str">
        <f t="shared" si="183"/>
        <v>女</v>
      </c>
    </row>
    <row r="1922" customHeight="1" spans="1:5">
      <c r="A1922" s="4">
        <v>1920</v>
      </c>
      <c r="B1922" s="4" t="str">
        <f>"431720220808204257236580"</f>
        <v>431720220808204257236580</v>
      </c>
      <c r="C1922" s="5" t="s">
        <v>24</v>
      </c>
      <c r="D1922" s="4" t="str">
        <f>"叶阳丽"</f>
        <v>叶阳丽</v>
      </c>
      <c r="E1922" s="4" t="str">
        <f t="shared" si="183"/>
        <v>女</v>
      </c>
    </row>
    <row r="1923" customHeight="1" spans="1:5">
      <c r="A1923" s="4">
        <v>1921</v>
      </c>
      <c r="B1923" s="4" t="str">
        <f>"431720220808210519236631"</f>
        <v>431720220808210519236631</v>
      </c>
      <c r="C1923" s="5" t="s">
        <v>24</v>
      </c>
      <c r="D1923" s="4" t="str">
        <f>"孙婧倩"</f>
        <v>孙婧倩</v>
      </c>
      <c r="E1923" s="4" t="str">
        <f t="shared" si="183"/>
        <v>女</v>
      </c>
    </row>
    <row r="1924" customHeight="1" spans="1:5">
      <c r="A1924" s="4">
        <v>1922</v>
      </c>
      <c r="B1924" s="4" t="str">
        <f>"431720220808221353236814"</f>
        <v>431720220808221353236814</v>
      </c>
      <c r="C1924" s="5" t="s">
        <v>24</v>
      </c>
      <c r="D1924" s="4" t="str">
        <f>"周怡娴"</f>
        <v>周怡娴</v>
      </c>
      <c r="E1924" s="4" t="str">
        <f t="shared" si="183"/>
        <v>女</v>
      </c>
    </row>
    <row r="1925" customHeight="1" spans="1:5">
      <c r="A1925" s="4">
        <v>1923</v>
      </c>
      <c r="B1925" s="4" t="str">
        <f>"431720220808221802236820"</f>
        <v>431720220808221802236820</v>
      </c>
      <c r="C1925" s="5" t="s">
        <v>24</v>
      </c>
      <c r="D1925" s="4" t="str">
        <f>"王丹丹"</f>
        <v>王丹丹</v>
      </c>
      <c r="E1925" s="4" t="str">
        <f t="shared" si="183"/>
        <v>女</v>
      </c>
    </row>
    <row r="1926" customHeight="1" spans="1:5">
      <c r="A1926" s="4">
        <v>1924</v>
      </c>
      <c r="B1926" s="4" t="str">
        <f>"431720220808225953236888"</f>
        <v>431720220808225953236888</v>
      </c>
      <c r="C1926" s="5" t="s">
        <v>24</v>
      </c>
      <c r="D1926" s="4" t="str">
        <f>"羊小玲"</f>
        <v>羊小玲</v>
      </c>
      <c r="E1926" s="4" t="str">
        <f t="shared" si="183"/>
        <v>女</v>
      </c>
    </row>
    <row r="1927" customHeight="1" spans="1:5">
      <c r="A1927" s="4">
        <v>1925</v>
      </c>
      <c r="B1927" s="4" t="str">
        <f>"431720220809001458236949"</f>
        <v>431720220809001458236949</v>
      </c>
      <c r="C1927" s="5" t="s">
        <v>24</v>
      </c>
      <c r="D1927" s="4" t="str">
        <f>"吴秀丽"</f>
        <v>吴秀丽</v>
      </c>
      <c r="E1927" s="4" t="str">
        <f t="shared" si="183"/>
        <v>女</v>
      </c>
    </row>
    <row r="1928" customHeight="1" spans="1:5">
      <c r="A1928" s="4">
        <v>1926</v>
      </c>
      <c r="B1928" s="4" t="str">
        <f>"431720220809024843236966"</f>
        <v>431720220809024843236966</v>
      </c>
      <c r="C1928" s="5" t="s">
        <v>24</v>
      </c>
      <c r="D1928" s="4" t="str">
        <f>"陈冠娥"</f>
        <v>陈冠娥</v>
      </c>
      <c r="E1928" s="4" t="str">
        <f t="shared" si="183"/>
        <v>女</v>
      </c>
    </row>
    <row r="1929" customHeight="1" spans="1:5">
      <c r="A1929" s="4">
        <v>1927</v>
      </c>
      <c r="B1929" s="4" t="str">
        <f>"431720220809084702237113"</f>
        <v>431720220809084702237113</v>
      </c>
      <c r="C1929" s="5" t="s">
        <v>24</v>
      </c>
      <c r="D1929" s="4" t="str">
        <f>"陈英莉"</f>
        <v>陈英莉</v>
      </c>
      <c r="E1929" s="4" t="str">
        <f t="shared" si="183"/>
        <v>女</v>
      </c>
    </row>
    <row r="1930" customHeight="1" spans="1:5">
      <c r="A1930" s="4">
        <v>1928</v>
      </c>
      <c r="B1930" s="4" t="str">
        <f>"431720220809090411237178"</f>
        <v>431720220809090411237178</v>
      </c>
      <c r="C1930" s="5" t="s">
        <v>24</v>
      </c>
      <c r="D1930" s="4" t="str">
        <f>"冯小带"</f>
        <v>冯小带</v>
      </c>
      <c r="E1930" s="4" t="str">
        <f t="shared" si="183"/>
        <v>女</v>
      </c>
    </row>
    <row r="1931" customHeight="1" spans="1:5">
      <c r="A1931" s="4">
        <v>1929</v>
      </c>
      <c r="B1931" s="4" t="str">
        <f>"431720220809094445237319"</f>
        <v>431720220809094445237319</v>
      </c>
      <c r="C1931" s="5" t="s">
        <v>24</v>
      </c>
      <c r="D1931" s="4" t="str">
        <f>"徐雅丽"</f>
        <v>徐雅丽</v>
      </c>
      <c r="E1931" s="4" t="str">
        <f t="shared" si="183"/>
        <v>女</v>
      </c>
    </row>
    <row r="1932" customHeight="1" spans="1:5">
      <c r="A1932" s="4">
        <v>1930</v>
      </c>
      <c r="B1932" s="4" t="str">
        <f>"431720220809095023237333"</f>
        <v>431720220809095023237333</v>
      </c>
      <c r="C1932" s="5" t="s">
        <v>24</v>
      </c>
      <c r="D1932" s="4" t="str">
        <f>"蔡亲梅"</f>
        <v>蔡亲梅</v>
      </c>
      <c r="E1932" s="4" t="str">
        <f t="shared" si="183"/>
        <v>女</v>
      </c>
    </row>
    <row r="1933" customHeight="1" spans="1:5">
      <c r="A1933" s="4">
        <v>1931</v>
      </c>
      <c r="B1933" s="4" t="str">
        <f>"431720220809103024237474"</f>
        <v>431720220809103024237474</v>
      </c>
      <c r="C1933" s="5" t="s">
        <v>24</v>
      </c>
      <c r="D1933" s="4" t="str">
        <f>"符永银"</f>
        <v>符永银</v>
      </c>
      <c r="E1933" s="4" t="str">
        <f t="shared" si="183"/>
        <v>女</v>
      </c>
    </row>
    <row r="1934" customHeight="1" spans="1:5">
      <c r="A1934" s="4">
        <v>1932</v>
      </c>
      <c r="B1934" s="4" t="str">
        <f>"431720220809105234237540"</f>
        <v>431720220809105234237540</v>
      </c>
      <c r="C1934" s="5" t="s">
        <v>24</v>
      </c>
      <c r="D1934" s="4" t="str">
        <f>"邱小銮"</f>
        <v>邱小銮</v>
      </c>
      <c r="E1934" s="4" t="str">
        <f t="shared" si="183"/>
        <v>女</v>
      </c>
    </row>
    <row r="1935" customHeight="1" spans="1:5">
      <c r="A1935" s="4">
        <v>1933</v>
      </c>
      <c r="B1935" s="4" t="str">
        <f>"431720220809120452237733"</f>
        <v>431720220809120452237733</v>
      </c>
      <c r="C1935" s="5" t="s">
        <v>24</v>
      </c>
      <c r="D1935" s="4" t="str">
        <f>"王娇妹"</f>
        <v>王娇妹</v>
      </c>
      <c r="E1935" s="4" t="str">
        <f t="shared" si="183"/>
        <v>女</v>
      </c>
    </row>
    <row r="1936" customHeight="1" spans="1:5">
      <c r="A1936" s="4">
        <v>1934</v>
      </c>
      <c r="B1936" s="4" t="str">
        <f>"431720220809124332237826"</f>
        <v>431720220809124332237826</v>
      </c>
      <c r="C1936" s="5" t="s">
        <v>24</v>
      </c>
      <c r="D1936" s="4" t="str">
        <f>"符俊优"</f>
        <v>符俊优</v>
      </c>
      <c r="E1936" s="4" t="str">
        <f>"男"</f>
        <v>男</v>
      </c>
    </row>
    <row r="1937" customHeight="1" spans="1:5">
      <c r="A1937" s="4">
        <v>1935</v>
      </c>
      <c r="B1937" s="4" t="str">
        <f>"431720220809133657237961"</f>
        <v>431720220809133657237961</v>
      </c>
      <c r="C1937" s="5" t="s">
        <v>24</v>
      </c>
      <c r="D1937" s="4" t="str">
        <f>"符爱孟"</f>
        <v>符爱孟</v>
      </c>
      <c r="E1937" s="4" t="str">
        <f t="shared" ref="E1937:E1939" si="184">"女"</f>
        <v>女</v>
      </c>
    </row>
    <row r="1938" customHeight="1" spans="1:5">
      <c r="A1938" s="4">
        <v>1936</v>
      </c>
      <c r="B1938" s="4" t="str">
        <f>"431720220809162955238350"</f>
        <v>431720220809162955238350</v>
      </c>
      <c r="C1938" s="5" t="s">
        <v>24</v>
      </c>
      <c r="D1938" s="4" t="str">
        <f>"巫仙群"</f>
        <v>巫仙群</v>
      </c>
      <c r="E1938" s="4" t="str">
        <f t="shared" si="184"/>
        <v>女</v>
      </c>
    </row>
    <row r="1939" customHeight="1" spans="1:5">
      <c r="A1939" s="4">
        <v>1937</v>
      </c>
      <c r="B1939" s="4" t="str">
        <f>"431720220809175936238518"</f>
        <v>431720220809175936238518</v>
      </c>
      <c r="C1939" s="5" t="s">
        <v>24</v>
      </c>
      <c r="D1939" s="4" t="str">
        <f>"何振柳"</f>
        <v>何振柳</v>
      </c>
      <c r="E1939" s="4" t="str">
        <f t="shared" si="184"/>
        <v>女</v>
      </c>
    </row>
    <row r="1940" customHeight="1" spans="1:5">
      <c r="A1940" s="4">
        <v>1938</v>
      </c>
      <c r="B1940" s="4" t="str">
        <f>"431720220809182911238574"</f>
        <v>431720220809182911238574</v>
      </c>
      <c r="C1940" s="5" t="s">
        <v>24</v>
      </c>
      <c r="D1940" s="4" t="str">
        <f>"符启坚"</f>
        <v>符启坚</v>
      </c>
      <c r="E1940" s="4" t="str">
        <f>"男"</f>
        <v>男</v>
      </c>
    </row>
    <row r="1941" customHeight="1" spans="1:5">
      <c r="A1941" s="4">
        <v>1939</v>
      </c>
      <c r="B1941" s="4" t="str">
        <f>"431720220809183429238584"</f>
        <v>431720220809183429238584</v>
      </c>
      <c r="C1941" s="5" t="s">
        <v>24</v>
      </c>
      <c r="D1941" s="4" t="str">
        <f>"翁时畅"</f>
        <v>翁时畅</v>
      </c>
      <c r="E1941" s="4" t="str">
        <f t="shared" ref="E1941:E1958" si="185">"女"</f>
        <v>女</v>
      </c>
    </row>
    <row r="1942" customHeight="1" spans="1:5">
      <c r="A1942" s="4">
        <v>1940</v>
      </c>
      <c r="B1942" s="4" t="str">
        <f>"431720220809184713238603"</f>
        <v>431720220809184713238603</v>
      </c>
      <c r="C1942" s="5" t="s">
        <v>24</v>
      </c>
      <c r="D1942" s="4" t="str">
        <f>"麦慧霞"</f>
        <v>麦慧霞</v>
      </c>
      <c r="E1942" s="4" t="str">
        <f t="shared" si="185"/>
        <v>女</v>
      </c>
    </row>
    <row r="1943" customHeight="1" spans="1:5">
      <c r="A1943" s="4">
        <v>1941</v>
      </c>
      <c r="B1943" s="4" t="str">
        <f>"431720220809201117238739"</f>
        <v>431720220809201117238739</v>
      </c>
      <c r="C1943" s="5" t="s">
        <v>24</v>
      </c>
      <c r="D1943" s="4" t="str">
        <f>"许世桃"</f>
        <v>许世桃</v>
      </c>
      <c r="E1943" s="4" t="str">
        <f t="shared" si="185"/>
        <v>女</v>
      </c>
    </row>
    <row r="1944" customHeight="1" spans="1:5">
      <c r="A1944" s="4">
        <v>1942</v>
      </c>
      <c r="B1944" s="4" t="str">
        <f>"431720220809201930238762"</f>
        <v>431720220809201930238762</v>
      </c>
      <c r="C1944" s="5" t="s">
        <v>24</v>
      </c>
      <c r="D1944" s="4" t="str">
        <f>"陈小曼"</f>
        <v>陈小曼</v>
      </c>
      <c r="E1944" s="4" t="str">
        <f t="shared" si="185"/>
        <v>女</v>
      </c>
    </row>
    <row r="1945" customHeight="1" spans="1:5">
      <c r="A1945" s="4">
        <v>1943</v>
      </c>
      <c r="B1945" s="4" t="str">
        <f>"431720220809211434238880"</f>
        <v>431720220809211434238880</v>
      </c>
      <c r="C1945" s="5" t="s">
        <v>24</v>
      </c>
      <c r="D1945" s="4" t="str">
        <f>"周红燕"</f>
        <v>周红燕</v>
      </c>
      <c r="E1945" s="4" t="str">
        <f t="shared" si="185"/>
        <v>女</v>
      </c>
    </row>
    <row r="1946" customHeight="1" spans="1:5">
      <c r="A1946" s="4">
        <v>1944</v>
      </c>
      <c r="B1946" s="4" t="str">
        <f>"431720220809211646238885"</f>
        <v>431720220809211646238885</v>
      </c>
      <c r="C1946" s="5" t="s">
        <v>24</v>
      </c>
      <c r="D1946" s="4" t="str">
        <f>"陈丽娇"</f>
        <v>陈丽娇</v>
      </c>
      <c r="E1946" s="4" t="str">
        <f t="shared" si="185"/>
        <v>女</v>
      </c>
    </row>
    <row r="1947" customHeight="1" spans="1:5">
      <c r="A1947" s="4">
        <v>1945</v>
      </c>
      <c r="B1947" s="4" t="str">
        <f>"431720220809215813238978"</f>
        <v>431720220809215813238978</v>
      </c>
      <c r="C1947" s="5" t="s">
        <v>24</v>
      </c>
      <c r="D1947" s="4" t="str">
        <f>"符衍婷"</f>
        <v>符衍婷</v>
      </c>
      <c r="E1947" s="4" t="str">
        <f t="shared" si="185"/>
        <v>女</v>
      </c>
    </row>
    <row r="1948" customHeight="1" spans="1:5">
      <c r="A1948" s="4">
        <v>1946</v>
      </c>
      <c r="B1948" s="4" t="str">
        <f>"431720220809222148239033"</f>
        <v>431720220809222148239033</v>
      </c>
      <c r="C1948" s="5" t="s">
        <v>24</v>
      </c>
      <c r="D1948" s="4" t="str">
        <f>"王冰"</f>
        <v>王冰</v>
      </c>
      <c r="E1948" s="4" t="str">
        <f t="shared" si="185"/>
        <v>女</v>
      </c>
    </row>
    <row r="1949" customHeight="1" spans="1:5">
      <c r="A1949" s="4">
        <v>1947</v>
      </c>
      <c r="B1949" s="4" t="str">
        <f>"431720220809223705239066"</f>
        <v>431720220809223705239066</v>
      </c>
      <c r="C1949" s="5" t="s">
        <v>24</v>
      </c>
      <c r="D1949" s="4" t="str">
        <f>"周灵凤"</f>
        <v>周灵凤</v>
      </c>
      <c r="E1949" s="4" t="str">
        <f t="shared" si="185"/>
        <v>女</v>
      </c>
    </row>
    <row r="1950" customHeight="1" spans="1:5">
      <c r="A1950" s="4">
        <v>1948</v>
      </c>
      <c r="B1950" s="4" t="str">
        <f>"431720220809234146239155"</f>
        <v>431720220809234146239155</v>
      </c>
      <c r="C1950" s="5" t="s">
        <v>24</v>
      </c>
      <c r="D1950" s="4" t="str">
        <f>"郭仁玲"</f>
        <v>郭仁玲</v>
      </c>
      <c r="E1950" s="4" t="str">
        <f t="shared" si="185"/>
        <v>女</v>
      </c>
    </row>
    <row r="1951" customHeight="1" spans="1:5">
      <c r="A1951" s="4">
        <v>1949</v>
      </c>
      <c r="B1951" s="4" t="str">
        <f>"431720220810001154239171"</f>
        <v>431720220810001154239171</v>
      </c>
      <c r="C1951" s="5" t="s">
        <v>24</v>
      </c>
      <c r="D1951" s="4" t="str">
        <f>"吕小燕"</f>
        <v>吕小燕</v>
      </c>
      <c r="E1951" s="4" t="str">
        <f t="shared" si="185"/>
        <v>女</v>
      </c>
    </row>
    <row r="1952" customHeight="1" spans="1:5">
      <c r="A1952" s="4">
        <v>1950</v>
      </c>
      <c r="B1952" s="4" t="str">
        <f>"431720220810095224239593"</f>
        <v>431720220810095224239593</v>
      </c>
      <c r="C1952" s="5" t="s">
        <v>24</v>
      </c>
      <c r="D1952" s="4" t="str">
        <f>"李琼虹"</f>
        <v>李琼虹</v>
      </c>
      <c r="E1952" s="4" t="str">
        <f t="shared" si="185"/>
        <v>女</v>
      </c>
    </row>
    <row r="1953" customHeight="1" spans="1:5">
      <c r="A1953" s="4">
        <v>1951</v>
      </c>
      <c r="B1953" s="4" t="str">
        <f>"431720220810103000239749"</f>
        <v>431720220810103000239749</v>
      </c>
      <c r="C1953" s="5" t="s">
        <v>24</v>
      </c>
      <c r="D1953" s="4" t="str">
        <f>"文亚倩"</f>
        <v>文亚倩</v>
      </c>
      <c r="E1953" s="4" t="str">
        <f t="shared" si="185"/>
        <v>女</v>
      </c>
    </row>
    <row r="1954" customHeight="1" spans="1:5">
      <c r="A1954" s="4">
        <v>1952</v>
      </c>
      <c r="B1954" s="4" t="str">
        <f>"431720220810103127239753"</f>
        <v>431720220810103127239753</v>
      </c>
      <c r="C1954" s="5" t="s">
        <v>24</v>
      </c>
      <c r="D1954" s="4" t="str">
        <f>"扈雅宁"</f>
        <v>扈雅宁</v>
      </c>
      <c r="E1954" s="4" t="str">
        <f t="shared" si="185"/>
        <v>女</v>
      </c>
    </row>
    <row r="1955" customHeight="1" spans="1:5">
      <c r="A1955" s="4">
        <v>1953</v>
      </c>
      <c r="B1955" s="4" t="str">
        <f>"431720220810105948239843"</f>
        <v>431720220810105948239843</v>
      </c>
      <c r="C1955" s="5" t="s">
        <v>24</v>
      </c>
      <c r="D1955" s="4" t="str">
        <f>"陈桂秀"</f>
        <v>陈桂秀</v>
      </c>
      <c r="E1955" s="4" t="str">
        <f t="shared" si="185"/>
        <v>女</v>
      </c>
    </row>
    <row r="1956" customHeight="1" spans="1:5">
      <c r="A1956" s="4">
        <v>1954</v>
      </c>
      <c r="B1956" s="4" t="str">
        <f>"431720220810121657240054"</f>
        <v>431720220810121657240054</v>
      </c>
      <c r="C1956" s="5" t="s">
        <v>24</v>
      </c>
      <c r="D1956" s="4" t="str">
        <f>"冯丽萍"</f>
        <v>冯丽萍</v>
      </c>
      <c r="E1956" s="4" t="str">
        <f t="shared" si="185"/>
        <v>女</v>
      </c>
    </row>
    <row r="1957" customHeight="1" spans="1:5">
      <c r="A1957" s="4">
        <v>1955</v>
      </c>
      <c r="B1957" s="4" t="str">
        <f>"431720220810124033240121"</f>
        <v>431720220810124033240121</v>
      </c>
      <c r="C1957" s="5" t="s">
        <v>24</v>
      </c>
      <c r="D1957" s="4" t="str">
        <f>"陈代丽"</f>
        <v>陈代丽</v>
      </c>
      <c r="E1957" s="4" t="str">
        <f t="shared" si="185"/>
        <v>女</v>
      </c>
    </row>
    <row r="1958" customHeight="1" spans="1:5">
      <c r="A1958" s="4">
        <v>1956</v>
      </c>
      <c r="B1958" s="4" t="str">
        <f>"431720220810140031240314"</f>
        <v>431720220810140031240314</v>
      </c>
      <c r="C1958" s="5" t="s">
        <v>24</v>
      </c>
      <c r="D1958" s="4" t="str">
        <f>"李凤珍"</f>
        <v>李凤珍</v>
      </c>
      <c r="E1958" s="4" t="str">
        <f t="shared" si="185"/>
        <v>女</v>
      </c>
    </row>
    <row r="1959" customHeight="1" spans="1:5">
      <c r="A1959" s="4">
        <v>1957</v>
      </c>
      <c r="B1959" s="4" t="str">
        <f>"431720220810144022240387"</f>
        <v>431720220810144022240387</v>
      </c>
      <c r="C1959" s="5" t="s">
        <v>24</v>
      </c>
      <c r="D1959" s="4" t="str">
        <f>"郑淇"</f>
        <v>郑淇</v>
      </c>
      <c r="E1959" s="4" t="str">
        <f>"男"</f>
        <v>男</v>
      </c>
    </row>
    <row r="1960" customHeight="1" spans="1:5">
      <c r="A1960" s="4">
        <v>1958</v>
      </c>
      <c r="B1960" s="4" t="str">
        <f>"431720220810205702241396"</f>
        <v>431720220810205702241396</v>
      </c>
      <c r="C1960" s="5" t="s">
        <v>24</v>
      </c>
      <c r="D1960" s="4" t="str">
        <f>"黄少梅"</f>
        <v>黄少梅</v>
      </c>
      <c r="E1960" s="4" t="str">
        <f t="shared" ref="E1960:E1966" si="186">"女"</f>
        <v>女</v>
      </c>
    </row>
    <row r="1961" customHeight="1" spans="1:5">
      <c r="A1961" s="4">
        <v>1959</v>
      </c>
      <c r="B1961" s="4" t="str">
        <f>"431720220810212443241460"</f>
        <v>431720220810212443241460</v>
      </c>
      <c r="C1961" s="5" t="s">
        <v>24</v>
      </c>
      <c r="D1961" s="4" t="str">
        <f>"翁美艳"</f>
        <v>翁美艳</v>
      </c>
      <c r="E1961" s="4" t="str">
        <f t="shared" si="186"/>
        <v>女</v>
      </c>
    </row>
    <row r="1962" customHeight="1" spans="1:5">
      <c r="A1962" s="4">
        <v>1960</v>
      </c>
      <c r="B1962" s="4" t="str">
        <f>"431720220810212650241470"</f>
        <v>431720220810212650241470</v>
      </c>
      <c r="C1962" s="5" t="s">
        <v>24</v>
      </c>
      <c r="D1962" s="4" t="str">
        <f>"王文明"</f>
        <v>王文明</v>
      </c>
      <c r="E1962" s="4" t="str">
        <f t="shared" si="186"/>
        <v>女</v>
      </c>
    </row>
    <row r="1963" customHeight="1" spans="1:5">
      <c r="A1963" s="4">
        <v>1961</v>
      </c>
      <c r="B1963" s="4" t="str">
        <f>"431720220810220014241564"</f>
        <v>431720220810220014241564</v>
      </c>
      <c r="C1963" s="5" t="s">
        <v>24</v>
      </c>
      <c r="D1963" s="4" t="str">
        <f>"谢宗胶"</f>
        <v>谢宗胶</v>
      </c>
      <c r="E1963" s="4" t="str">
        <f t="shared" si="186"/>
        <v>女</v>
      </c>
    </row>
    <row r="1964" customHeight="1" spans="1:5">
      <c r="A1964" s="4">
        <v>1962</v>
      </c>
      <c r="B1964" s="4" t="str">
        <f>"431720220810224144241651"</f>
        <v>431720220810224144241651</v>
      </c>
      <c r="C1964" s="5" t="s">
        <v>24</v>
      </c>
      <c r="D1964" s="4" t="str">
        <f>"颜怡仔"</f>
        <v>颜怡仔</v>
      </c>
      <c r="E1964" s="4" t="str">
        <f t="shared" si="186"/>
        <v>女</v>
      </c>
    </row>
    <row r="1965" customHeight="1" spans="1:5">
      <c r="A1965" s="4">
        <v>1963</v>
      </c>
      <c r="B1965" s="4" t="str">
        <f>"431720220810232325241726"</f>
        <v>431720220810232325241726</v>
      </c>
      <c r="C1965" s="5" t="s">
        <v>24</v>
      </c>
      <c r="D1965" s="4" t="str">
        <f>"陈彬彬"</f>
        <v>陈彬彬</v>
      </c>
      <c r="E1965" s="4" t="str">
        <f t="shared" si="186"/>
        <v>女</v>
      </c>
    </row>
    <row r="1966" customHeight="1" spans="1:5">
      <c r="A1966" s="4">
        <v>1964</v>
      </c>
      <c r="B1966" s="4" t="str">
        <f>"431720220811022350241803"</f>
        <v>431720220811022350241803</v>
      </c>
      <c r="C1966" s="5" t="s">
        <v>24</v>
      </c>
      <c r="D1966" s="4" t="str">
        <f>"邱明东"</f>
        <v>邱明东</v>
      </c>
      <c r="E1966" s="4" t="str">
        <f t="shared" si="186"/>
        <v>女</v>
      </c>
    </row>
    <row r="1967" customHeight="1" spans="1:5">
      <c r="A1967" s="4">
        <v>1965</v>
      </c>
      <c r="B1967" s="4" t="str">
        <f>"431720220811100523242231"</f>
        <v>431720220811100523242231</v>
      </c>
      <c r="C1967" s="5" t="s">
        <v>24</v>
      </c>
      <c r="D1967" s="4" t="str">
        <f>"李杰丞"</f>
        <v>李杰丞</v>
      </c>
      <c r="E1967" s="4" t="str">
        <f>"男"</f>
        <v>男</v>
      </c>
    </row>
    <row r="1968" customHeight="1" spans="1:5">
      <c r="A1968" s="4">
        <v>1966</v>
      </c>
      <c r="B1968" s="4" t="str">
        <f>"431720220811102919242318"</f>
        <v>431720220811102919242318</v>
      </c>
      <c r="C1968" s="5" t="s">
        <v>24</v>
      </c>
      <c r="D1968" s="4" t="str">
        <f>"符春泥"</f>
        <v>符春泥</v>
      </c>
      <c r="E1968" s="4" t="str">
        <f t="shared" ref="E1968:E1992" si="187">"女"</f>
        <v>女</v>
      </c>
    </row>
    <row r="1969" customHeight="1" spans="1:5">
      <c r="A1969" s="4">
        <v>1967</v>
      </c>
      <c r="B1969" s="4" t="str">
        <f>"431720220811122829242651"</f>
        <v>431720220811122829242651</v>
      </c>
      <c r="C1969" s="5" t="s">
        <v>24</v>
      </c>
      <c r="D1969" s="4" t="str">
        <f>"王亮亮"</f>
        <v>王亮亮</v>
      </c>
      <c r="E1969" s="4" t="str">
        <f t="shared" si="187"/>
        <v>女</v>
      </c>
    </row>
    <row r="1970" customHeight="1" spans="1:5">
      <c r="A1970" s="4">
        <v>1968</v>
      </c>
      <c r="B1970" s="4" t="str">
        <f>"431720220811135912242890"</f>
        <v>431720220811135912242890</v>
      </c>
      <c r="C1970" s="5" t="s">
        <v>24</v>
      </c>
      <c r="D1970" s="4" t="str">
        <f>"王石妍"</f>
        <v>王石妍</v>
      </c>
      <c r="E1970" s="4" t="str">
        <f t="shared" si="187"/>
        <v>女</v>
      </c>
    </row>
    <row r="1971" customHeight="1" spans="1:5">
      <c r="A1971" s="4">
        <v>1969</v>
      </c>
      <c r="B1971" s="4" t="str">
        <f>"431720220811153401243202"</f>
        <v>431720220811153401243202</v>
      </c>
      <c r="C1971" s="5" t="s">
        <v>24</v>
      </c>
      <c r="D1971" s="4" t="str">
        <f>"林燕青"</f>
        <v>林燕青</v>
      </c>
      <c r="E1971" s="4" t="str">
        <f t="shared" si="187"/>
        <v>女</v>
      </c>
    </row>
    <row r="1972" customHeight="1" spans="1:5">
      <c r="A1972" s="4">
        <v>1970</v>
      </c>
      <c r="B1972" s="4" t="str">
        <f>"431720220811163251243370"</f>
        <v>431720220811163251243370</v>
      </c>
      <c r="C1972" s="5" t="s">
        <v>24</v>
      </c>
      <c r="D1972" s="4" t="str">
        <f>"林礼妙"</f>
        <v>林礼妙</v>
      </c>
      <c r="E1972" s="4" t="str">
        <f t="shared" si="187"/>
        <v>女</v>
      </c>
    </row>
    <row r="1973" customHeight="1" spans="1:5">
      <c r="A1973" s="4">
        <v>1971</v>
      </c>
      <c r="B1973" s="4" t="str">
        <f>"431720220811184228243552"</f>
        <v>431720220811184228243552</v>
      </c>
      <c r="C1973" s="5" t="s">
        <v>24</v>
      </c>
      <c r="D1973" s="4" t="str">
        <f>"楼丽雯"</f>
        <v>楼丽雯</v>
      </c>
      <c r="E1973" s="4" t="str">
        <f t="shared" si="187"/>
        <v>女</v>
      </c>
    </row>
    <row r="1974" customHeight="1" spans="1:5">
      <c r="A1974" s="4">
        <v>1972</v>
      </c>
      <c r="B1974" s="4" t="str">
        <f>"431720220811191240243562"</f>
        <v>431720220811191240243562</v>
      </c>
      <c r="C1974" s="5" t="s">
        <v>24</v>
      </c>
      <c r="D1974" s="4" t="str">
        <f>"吉发霞"</f>
        <v>吉发霞</v>
      </c>
      <c r="E1974" s="4" t="str">
        <f t="shared" si="187"/>
        <v>女</v>
      </c>
    </row>
    <row r="1975" customHeight="1" spans="1:5">
      <c r="A1975" s="4">
        <v>1973</v>
      </c>
      <c r="B1975" s="4" t="str">
        <f>"431720220811204808243622"</f>
        <v>431720220811204808243622</v>
      </c>
      <c r="C1975" s="5" t="s">
        <v>24</v>
      </c>
      <c r="D1975" s="4" t="str">
        <f>"苏虹"</f>
        <v>苏虹</v>
      </c>
      <c r="E1975" s="4" t="str">
        <f t="shared" si="187"/>
        <v>女</v>
      </c>
    </row>
    <row r="1976" customHeight="1" spans="1:5">
      <c r="A1976" s="4">
        <v>1974</v>
      </c>
      <c r="B1976" s="4" t="str">
        <f>"431720220811214134243645"</f>
        <v>431720220811214134243645</v>
      </c>
      <c r="C1976" s="5" t="s">
        <v>24</v>
      </c>
      <c r="D1976" s="4" t="str">
        <f>"陈汉翠"</f>
        <v>陈汉翠</v>
      </c>
      <c r="E1976" s="4" t="str">
        <f t="shared" si="187"/>
        <v>女</v>
      </c>
    </row>
    <row r="1977" customHeight="1" spans="1:5">
      <c r="A1977" s="4">
        <v>1975</v>
      </c>
      <c r="B1977" s="4" t="str">
        <f>"431720220812091848243853"</f>
        <v>431720220812091848243853</v>
      </c>
      <c r="C1977" s="5" t="s">
        <v>24</v>
      </c>
      <c r="D1977" s="4" t="str">
        <f>"李叶梅"</f>
        <v>李叶梅</v>
      </c>
      <c r="E1977" s="4" t="str">
        <f t="shared" si="187"/>
        <v>女</v>
      </c>
    </row>
    <row r="1978" customHeight="1" spans="1:5">
      <c r="A1978" s="4">
        <v>1976</v>
      </c>
      <c r="B1978" s="4" t="str">
        <f>"431720220812093554243878"</f>
        <v>431720220812093554243878</v>
      </c>
      <c r="C1978" s="5" t="s">
        <v>24</v>
      </c>
      <c r="D1978" s="4" t="str">
        <f>"王寸升"</f>
        <v>王寸升</v>
      </c>
      <c r="E1978" s="4" t="str">
        <f t="shared" si="187"/>
        <v>女</v>
      </c>
    </row>
    <row r="1979" customHeight="1" spans="1:5">
      <c r="A1979" s="4">
        <v>1977</v>
      </c>
      <c r="B1979" s="4" t="str">
        <f>"431720220812095049243913"</f>
        <v>431720220812095049243913</v>
      </c>
      <c r="C1979" s="5" t="s">
        <v>24</v>
      </c>
      <c r="D1979" s="4" t="str">
        <f>"曾妙"</f>
        <v>曾妙</v>
      </c>
      <c r="E1979" s="4" t="str">
        <f t="shared" si="187"/>
        <v>女</v>
      </c>
    </row>
    <row r="1980" customHeight="1" spans="1:5">
      <c r="A1980" s="4">
        <v>1978</v>
      </c>
      <c r="B1980" s="4" t="str">
        <f>"431720220812102536243976"</f>
        <v>431720220812102536243976</v>
      </c>
      <c r="C1980" s="5" t="s">
        <v>24</v>
      </c>
      <c r="D1980" s="4" t="str">
        <f>"谢仪"</f>
        <v>谢仪</v>
      </c>
      <c r="E1980" s="4" t="str">
        <f t="shared" si="187"/>
        <v>女</v>
      </c>
    </row>
    <row r="1981" customHeight="1" spans="1:5">
      <c r="A1981" s="4">
        <v>1979</v>
      </c>
      <c r="B1981" s="4" t="str">
        <f>"431720220812102836243984"</f>
        <v>431720220812102836243984</v>
      </c>
      <c r="C1981" s="5" t="s">
        <v>24</v>
      </c>
      <c r="D1981" s="4" t="str">
        <f>"黄钟秦"</f>
        <v>黄钟秦</v>
      </c>
      <c r="E1981" s="4" t="str">
        <f t="shared" si="187"/>
        <v>女</v>
      </c>
    </row>
    <row r="1982" customHeight="1" spans="1:5">
      <c r="A1982" s="4">
        <v>1980</v>
      </c>
      <c r="B1982" s="4" t="str">
        <f>"431720220812102900243985"</f>
        <v>431720220812102900243985</v>
      </c>
      <c r="C1982" s="5" t="s">
        <v>24</v>
      </c>
      <c r="D1982" s="4" t="str">
        <f>"李华冰"</f>
        <v>李华冰</v>
      </c>
      <c r="E1982" s="4" t="str">
        <f t="shared" si="187"/>
        <v>女</v>
      </c>
    </row>
    <row r="1983" customHeight="1" spans="1:5">
      <c r="A1983" s="4">
        <v>1981</v>
      </c>
      <c r="B1983" s="4" t="str">
        <f>"431720220812110616244068"</f>
        <v>431720220812110616244068</v>
      </c>
      <c r="C1983" s="5" t="s">
        <v>24</v>
      </c>
      <c r="D1983" s="4" t="str">
        <f>"王良琴"</f>
        <v>王良琴</v>
      </c>
      <c r="E1983" s="4" t="str">
        <f t="shared" si="187"/>
        <v>女</v>
      </c>
    </row>
    <row r="1984" customHeight="1" spans="1:5">
      <c r="A1984" s="4">
        <v>1982</v>
      </c>
      <c r="B1984" s="4" t="str">
        <f>"431720220812125713244214"</f>
        <v>431720220812125713244214</v>
      </c>
      <c r="C1984" s="5" t="s">
        <v>24</v>
      </c>
      <c r="D1984" s="4" t="str">
        <f>"王丽"</f>
        <v>王丽</v>
      </c>
      <c r="E1984" s="4" t="str">
        <f t="shared" si="187"/>
        <v>女</v>
      </c>
    </row>
    <row r="1985" customHeight="1" spans="1:5">
      <c r="A1985" s="4">
        <v>1983</v>
      </c>
      <c r="B1985" s="4" t="str">
        <f>"431720220812142758244302"</f>
        <v>431720220812142758244302</v>
      </c>
      <c r="C1985" s="5" t="s">
        <v>24</v>
      </c>
      <c r="D1985" s="4" t="str">
        <f>"左格格"</f>
        <v>左格格</v>
      </c>
      <c r="E1985" s="4" t="str">
        <f t="shared" si="187"/>
        <v>女</v>
      </c>
    </row>
    <row r="1986" customHeight="1" spans="1:5">
      <c r="A1986" s="4">
        <v>1984</v>
      </c>
      <c r="B1986" s="4" t="str">
        <f>"431720220812152621244376"</f>
        <v>431720220812152621244376</v>
      </c>
      <c r="C1986" s="5" t="s">
        <v>24</v>
      </c>
      <c r="D1986" s="4" t="str">
        <f>"张曼芬"</f>
        <v>张曼芬</v>
      </c>
      <c r="E1986" s="4" t="str">
        <f t="shared" si="187"/>
        <v>女</v>
      </c>
    </row>
    <row r="1987" customHeight="1" spans="1:5">
      <c r="A1987" s="4">
        <v>1985</v>
      </c>
      <c r="B1987" s="4" t="str">
        <f>"431720220812160046244429"</f>
        <v>431720220812160046244429</v>
      </c>
      <c r="C1987" s="5" t="s">
        <v>24</v>
      </c>
      <c r="D1987" s="4" t="str">
        <f>"杨康凤"</f>
        <v>杨康凤</v>
      </c>
      <c r="E1987" s="4" t="str">
        <f t="shared" si="187"/>
        <v>女</v>
      </c>
    </row>
    <row r="1988" customHeight="1" spans="1:5">
      <c r="A1988" s="4">
        <v>1986</v>
      </c>
      <c r="B1988" s="4" t="str">
        <f>"431720220812160439244435"</f>
        <v>431720220812160439244435</v>
      </c>
      <c r="C1988" s="5" t="s">
        <v>24</v>
      </c>
      <c r="D1988" s="4" t="str">
        <f>"周萍"</f>
        <v>周萍</v>
      </c>
      <c r="E1988" s="4" t="str">
        <f t="shared" si="187"/>
        <v>女</v>
      </c>
    </row>
    <row r="1989" customHeight="1" spans="1:5">
      <c r="A1989" s="4">
        <v>1987</v>
      </c>
      <c r="B1989" s="4" t="str">
        <f>"431720220806092804231272"</f>
        <v>431720220806092804231272</v>
      </c>
      <c r="C1989" s="5" t="s">
        <v>25</v>
      </c>
      <c r="D1989" s="4" t="str">
        <f>"卢银叶"</f>
        <v>卢银叶</v>
      </c>
      <c r="E1989" s="4" t="str">
        <f t="shared" si="187"/>
        <v>女</v>
      </c>
    </row>
    <row r="1990" customHeight="1" spans="1:5">
      <c r="A1990" s="4">
        <v>1988</v>
      </c>
      <c r="B1990" s="4" t="str">
        <f>"431720220806093459231289"</f>
        <v>431720220806093459231289</v>
      </c>
      <c r="C1990" s="5" t="s">
        <v>25</v>
      </c>
      <c r="D1990" s="4" t="str">
        <f>"林慧萍"</f>
        <v>林慧萍</v>
      </c>
      <c r="E1990" s="4" t="str">
        <f t="shared" si="187"/>
        <v>女</v>
      </c>
    </row>
    <row r="1991" customHeight="1" spans="1:5">
      <c r="A1991" s="4">
        <v>1989</v>
      </c>
      <c r="B1991" s="4" t="str">
        <f>"431720220806112025231634"</f>
        <v>431720220806112025231634</v>
      </c>
      <c r="C1991" s="5" t="s">
        <v>25</v>
      </c>
      <c r="D1991" s="4" t="str">
        <f>"王菲"</f>
        <v>王菲</v>
      </c>
      <c r="E1991" s="4" t="str">
        <f t="shared" si="187"/>
        <v>女</v>
      </c>
    </row>
    <row r="1992" customHeight="1" spans="1:5">
      <c r="A1992" s="4">
        <v>1990</v>
      </c>
      <c r="B1992" s="4" t="str">
        <f>"431720220806161309232328"</f>
        <v>431720220806161309232328</v>
      </c>
      <c r="C1992" s="5" t="s">
        <v>25</v>
      </c>
      <c r="D1992" s="4" t="str">
        <f>"王乙如"</f>
        <v>王乙如</v>
      </c>
      <c r="E1992" s="4" t="str">
        <f t="shared" si="187"/>
        <v>女</v>
      </c>
    </row>
    <row r="1993" customHeight="1" spans="1:5">
      <c r="A1993" s="4">
        <v>1991</v>
      </c>
      <c r="B1993" s="4" t="str">
        <f>"431720220806165108232410"</f>
        <v>431720220806165108232410</v>
      </c>
      <c r="C1993" s="5" t="s">
        <v>25</v>
      </c>
      <c r="D1993" s="4" t="str">
        <f>"王国伟"</f>
        <v>王国伟</v>
      </c>
      <c r="E1993" s="4" t="str">
        <f>"男"</f>
        <v>男</v>
      </c>
    </row>
    <row r="1994" customHeight="1" spans="1:5">
      <c r="A1994" s="4">
        <v>1992</v>
      </c>
      <c r="B1994" s="4" t="str">
        <f>"431720220806184443232571"</f>
        <v>431720220806184443232571</v>
      </c>
      <c r="C1994" s="5" t="s">
        <v>25</v>
      </c>
      <c r="D1994" s="4" t="str">
        <f>"王劲"</f>
        <v>王劲</v>
      </c>
      <c r="E1994" s="4" t="str">
        <f>"男"</f>
        <v>男</v>
      </c>
    </row>
    <row r="1995" customHeight="1" spans="1:5">
      <c r="A1995" s="4">
        <v>1993</v>
      </c>
      <c r="B1995" s="4" t="str">
        <f>"431720220807121200233140"</f>
        <v>431720220807121200233140</v>
      </c>
      <c r="C1995" s="5" t="s">
        <v>25</v>
      </c>
      <c r="D1995" s="4" t="str">
        <f>"陈影"</f>
        <v>陈影</v>
      </c>
      <c r="E1995" s="4" t="str">
        <f t="shared" ref="E1995:E2000" si="188">"女"</f>
        <v>女</v>
      </c>
    </row>
    <row r="1996" customHeight="1" spans="1:5">
      <c r="A1996" s="4">
        <v>1994</v>
      </c>
      <c r="B1996" s="4" t="str">
        <f>"431720220807150726233290"</f>
        <v>431720220807150726233290</v>
      </c>
      <c r="C1996" s="5" t="s">
        <v>25</v>
      </c>
      <c r="D1996" s="4" t="str">
        <f>"麦惠乾"</f>
        <v>麦惠乾</v>
      </c>
      <c r="E1996" s="4" t="str">
        <f t="shared" si="188"/>
        <v>女</v>
      </c>
    </row>
    <row r="1997" customHeight="1" spans="1:5">
      <c r="A1997" s="4">
        <v>1995</v>
      </c>
      <c r="B1997" s="4" t="str">
        <f>"431720220807183826233503"</f>
        <v>431720220807183826233503</v>
      </c>
      <c r="C1997" s="5" t="s">
        <v>25</v>
      </c>
      <c r="D1997" s="4" t="str">
        <f>"余月香"</f>
        <v>余月香</v>
      </c>
      <c r="E1997" s="4" t="str">
        <f t="shared" si="188"/>
        <v>女</v>
      </c>
    </row>
    <row r="1998" customHeight="1" spans="1:5">
      <c r="A1998" s="4">
        <v>1996</v>
      </c>
      <c r="B1998" s="4" t="str">
        <f>"431720220807200734233542"</f>
        <v>431720220807200734233542</v>
      </c>
      <c r="C1998" s="5" t="s">
        <v>25</v>
      </c>
      <c r="D1998" s="4" t="str">
        <f>"陈春艳"</f>
        <v>陈春艳</v>
      </c>
      <c r="E1998" s="4" t="str">
        <f t="shared" si="188"/>
        <v>女</v>
      </c>
    </row>
    <row r="1999" customHeight="1" spans="1:5">
      <c r="A1999" s="4">
        <v>1997</v>
      </c>
      <c r="B1999" s="4" t="str">
        <f>"431720220807222727233634"</f>
        <v>431720220807222727233634</v>
      </c>
      <c r="C1999" s="5" t="s">
        <v>25</v>
      </c>
      <c r="D1999" s="4" t="str">
        <f>"张英杏"</f>
        <v>张英杏</v>
      </c>
      <c r="E1999" s="4" t="str">
        <f t="shared" si="188"/>
        <v>女</v>
      </c>
    </row>
    <row r="2000" customHeight="1" spans="1:5">
      <c r="A2000" s="4">
        <v>1998</v>
      </c>
      <c r="B2000" s="4" t="str">
        <f>"431720220808090159233983"</f>
        <v>431720220808090159233983</v>
      </c>
      <c r="C2000" s="5" t="s">
        <v>25</v>
      </c>
      <c r="D2000" s="4" t="str">
        <f>"符晓寒"</f>
        <v>符晓寒</v>
      </c>
      <c r="E2000" s="4" t="str">
        <f t="shared" si="188"/>
        <v>女</v>
      </c>
    </row>
    <row r="2001" customHeight="1" spans="1:5">
      <c r="A2001" s="4">
        <v>1999</v>
      </c>
      <c r="B2001" s="4" t="str">
        <f>"431720220808201332236503"</f>
        <v>431720220808201332236503</v>
      </c>
      <c r="C2001" s="5" t="s">
        <v>25</v>
      </c>
      <c r="D2001" s="4" t="str">
        <f>"郭秋池"</f>
        <v>郭秋池</v>
      </c>
      <c r="E2001" s="4" t="str">
        <f>"男"</f>
        <v>男</v>
      </c>
    </row>
    <row r="2002" customHeight="1" spans="1:5">
      <c r="A2002" s="4">
        <v>2000</v>
      </c>
      <c r="B2002" s="4" t="str">
        <f>"431720220808204754236596"</f>
        <v>431720220808204754236596</v>
      </c>
      <c r="C2002" s="5" t="s">
        <v>25</v>
      </c>
      <c r="D2002" s="4" t="str">
        <f>"陈玉曼"</f>
        <v>陈玉曼</v>
      </c>
      <c r="E2002" s="4" t="str">
        <f t="shared" ref="E2002:E2006" si="189">"女"</f>
        <v>女</v>
      </c>
    </row>
    <row r="2003" customHeight="1" spans="1:5">
      <c r="A2003" s="4">
        <v>2001</v>
      </c>
      <c r="B2003" s="4" t="str">
        <f>"431720220809002415236952"</f>
        <v>431720220809002415236952</v>
      </c>
      <c r="C2003" s="5" t="s">
        <v>25</v>
      </c>
      <c r="D2003" s="4" t="str">
        <f>"林丽婷"</f>
        <v>林丽婷</v>
      </c>
      <c r="E2003" s="4" t="str">
        <f t="shared" si="189"/>
        <v>女</v>
      </c>
    </row>
    <row r="2004" customHeight="1" spans="1:5">
      <c r="A2004" s="4">
        <v>2002</v>
      </c>
      <c r="B2004" s="4" t="str">
        <f>"431720220810104233239798"</f>
        <v>431720220810104233239798</v>
      </c>
      <c r="C2004" s="5" t="s">
        <v>25</v>
      </c>
      <c r="D2004" s="4" t="str">
        <f>"陈雯"</f>
        <v>陈雯</v>
      </c>
      <c r="E2004" s="4" t="str">
        <f t="shared" si="189"/>
        <v>女</v>
      </c>
    </row>
    <row r="2005" customHeight="1" spans="1:5">
      <c r="A2005" s="4">
        <v>2003</v>
      </c>
      <c r="B2005" s="4" t="str">
        <f>"431720220810195642241241"</f>
        <v>431720220810195642241241</v>
      </c>
      <c r="C2005" s="5" t="s">
        <v>25</v>
      </c>
      <c r="D2005" s="4" t="str">
        <f>"李顺美"</f>
        <v>李顺美</v>
      </c>
      <c r="E2005" s="4" t="str">
        <f t="shared" si="189"/>
        <v>女</v>
      </c>
    </row>
    <row r="2006" customHeight="1" spans="1:5">
      <c r="A2006" s="4">
        <v>2004</v>
      </c>
      <c r="B2006" s="4" t="str">
        <f>"431720220811115618242565"</f>
        <v>431720220811115618242565</v>
      </c>
      <c r="C2006" s="5" t="s">
        <v>25</v>
      </c>
      <c r="D2006" s="4" t="str">
        <f>"符瑜"</f>
        <v>符瑜</v>
      </c>
      <c r="E2006" s="4" t="str">
        <f t="shared" si="189"/>
        <v>女</v>
      </c>
    </row>
    <row r="2007" customHeight="1" spans="1:5">
      <c r="A2007" s="4">
        <v>2005</v>
      </c>
      <c r="B2007" s="4" t="str">
        <f>"431720220811204914243623"</f>
        <v>431720220811204914243623</v>
      </c>
      <c r="C2007" s="5" t="s">
        <v>25</v>
      </c>
      <c r="D2007" s="4" t="str">
        <f>"邱优"</f>
        <v>邱优</v>
      </c>
      <c r="E2007" s="4" t="str">
        <f t="shared" ref="E2007:E2012" si="190">"男"</f>
        <v>男</v>
      </c>
    </row>
    <row r="2008" customHeight="1" spans="1:5">
      <c r="A2008" s="4">
        <v>2006</v>
      </c>
      <c r="B2008" s="4" t="str">
        <f>"431720220811213359243642"</f>
        <v>431720220811213359243642</v>
      </c>
      <c r="C2008" s="5" t="s">
        <v>25</v>
      </c>
      <c r="D2008" s="4" t="str">
        <f>"丁友清"</f>
        <v>丁友清</v>
      </c>
      <c r="E2008" s="4" t="str">
        <f t="shared" ref="E2008:E2010" si="191">"女"</f>
        <v>女</v>
      </c>
    </row>
    <row r="2009" customHeight="1" spans="1:5">
      <c r="A2009" s="4">
        <v>2007</v>
      </c>
      <c r="B2009" s="4" t="str">
        <f>"431720220811215105243655"</f>
        <v>431720220811215105243655</v>
      </c>
      <c r="C2009" s="5" t="s">
        <v>25</v>
      </c>
      <c r="D2009" s="4" t="str">
        <f>"王雯"</f>
        <v>王雯</v>
      </c>
      <c r="E2009" s="4" t="str">
        <f t="shared" si="191"/>
        <v>女</v>
      </c>
    </row>
    <row r="2010" customHeight="1" spans="1:5">
      <c r="A2010" s="4">
        <v>2008</v>
      </c>
      <c r="B2010" s="4" t="str">
        <f>"431720220812044032243762"</f>
        <v>431720220812044032243762</v>
      </c>
      <c r="C2010" s="5" t="s">
        <v>25</v>
      </c>
      <c r="D2010" s="4" t="str">
        <f>"王佳玉"</f>
        <v>王佳玉</v>
      </c>
      <c r="E2010" s="4" t="str">
        <f t="shared" si="191"/>
        <v>女</v>
      </c>
    </row>
    <row r="2011" customHeight="1" spans="1:5">
      <c r="A2011" s="4">
        <v>2009</v>
      </c>
      <c r="B2011" s="4" t="str">
        <f>"431720220812095342243918"</f>
        <v>431720220812095342243918</v>
      </c>
      <c r="C2011" s="5" t="s">
        <v>25</v>
      </c>
      <c r="D2011" s="4" t="str">
        <f>"张裕正"</f>
        <v>张裕正</v>
      </c>
      <c r="E2011" s="4" t="str">
        <f t="shared" si="190"/>
        <v>男</v>
      </c>
    </row>
    <row r="2012" customHeight="1" spans="1:5">
      <c r="A2012" s="4">
        <v>2010</v>
      </c>
      <c r="B2012" s="4" t="str">
        <f>"431720220806102607231457"</f>
        <v>431720220806102607231457</v>
      </c>
      <c r="C2012" s="5" t="s">
        <v>26</v>
      </c>
      <c r="D2012" s="4" t="str">
        <f>"王国兴"</f>
        <v>王国兴</v>
      </c>
      <c r="E2012" s="4" t="str">
        <f t="shared" si="190"/>
        <v>男</v>
      </c>
    </row>
    <row r="2013" customHeight="1" spans="1:5">
      <c r="A2013" s="4">
        <v>2011</v>
      </c>
      <c r="B2013" s="4" t="str">
        <f>"431720220806111952231633"</f>
        <v>431720220806111952231633</v>
      </c>
      <c r="C2013" s="5" t="s">
        <v>26</v>
      </c>
      <c r="D2013" s="4" t="str">
        <f>"王春月"</f>
        <v>王春月</v>
      </c>
      <c r="E2013" s="4" t="str">
        <f t="shared" ref="E2013:E2017" si="192">"女"</f>
        <v>女</v>
      </c>
    </row>
    <row r="2014" customHeight="1" spans="1:5">
      <c r="A2014" s="4">
        <v>2012</v>
      </c>
      <c r="B2014" s="4" t="str">
        <f>"431720220806115218231733"</f>
        <v>431720220806115218231733</v>
      </c>
      <c r="C2014" s="5" t="s">
        <v>26</v>
      </c>
      <c r="D2014" s="4" t="str">
        <f>"王晶晶"</f>
        <v>王晶晶</v>
      </c>
      <c r="E2014" s="4" t="str">
        <f t="shared" si="192"/>
        <v>女</v>
      </c>
    </row>
    <row r="2015" customHeight="1" spans="1:5">
      <c r="A2015" s="4">
        <v>2013</v>
      </c>
      <c r="B2015" s="4" t="str">
        <f>"431720220806125707231907"</f>
        <v>431720220806125707231907</v>
      </c>
      <c r="C2015" s="5" t="s">
        <v>26</v>
      </c>
      <c r="D2015" s="4" t="str">
        <f>"王嫦娥"</f>
        <v>王嫦娥</v>
      </c>
      <c r="E2015" s="4" t="str">
        <f t="shared" si="192"/>
        <v>女</v>
      </c>
    </row>
    <row r="2016" customHeight="1" spans="1:5">
      <c r="A2016" s="4">
        <v>2014</v>
      </c>
      <c r="B2016" s="4" t="str">
        <f>"431720220806140545232074"</f>
        <v>431720220806140545232074</v>
      </c>
      <c r="C2016" s="5" t="s">
        <v>26</v>
      </c>
      <c r="D2016" s="4" t="str">
        <f>"周静静"</f>
        <v>周静静</v>
      </c>
      <c r="E2016" s="4" t="str">
        <f t="shared" si="192"/>
        <v>女</v>
      </c>
    </row>
    <row r="2017" customHeight="1" spans="1:5">
      <c r="A2017" s="4">
        <v>2015</v>
      </c>
      <c r="B2017" s="4" t="str">
        <f>"431720220806150807232195"</f>
        <v>431720220806150807232195</v>
      </c>
      <c r="C2017" s="5" t="s">
        <v>26</v>
      </c>
      <c r="D2017" s="4" t="str">
        <f>"陈季香"</f>
        <v>陈季香</v>
      </c>
      <c r="E2017" s="4" t="str">
        <f t="shared" si="192"/>
        <v>女</v>
      </c>
    </row>
    <row r="2018" customHeight="1" spans="1:5">
      <c r="A2018" s="4">
        <v>2016</v>
      </c>
      <c r="B2018" s="4" t="str">
        <f>"431720220806194216232632"</f>
        <v>431720220806194216232632</v>
      </c>
      <c r="C2018" s="5" t="s">
        <v>26</v>
      </c>
      <c r="D2018" s="4" t="str">
        <f>"郑政"</f>
        <v>郑政</v>
      </c>
      <c r="E2018" s="4" t="str">
        <f>"男"</f>
        <v>男</v>
      </c>
    </row>
    <row r="2019" customHeight="1" spans="1:5">
      <c r="A2019" s="4">
        <v>2017</v>
      </c>
      <c r="B2019" s="4" t="str">
        <f>"431720220806203908232706"</f>
        <v>431720220806203908232706</v>
      </c>
      <c r="C2019" s="5" t="s">
        <v>26</v>
      </c>
      <c r="D2019" s="4" t="str">
        <f>"徐凤翔"</f>
        <v>徐凤翔</v>
      </c>
      <c r="E2019" s="4" t="str">
        <f t="shared" ref="E2019:E2022" si="193">"女"</f>
        <v>女</v>
      </c>
    </row>
    <row r="2020" customHeight="1" spans="1:5">
      <c r="A2020" s="4">
        <v>2018</v>
      </c>
      <c r="B2020" s="4" t="str">
        <f>"431720220806221301232800"</f>
        <v>431720220806221301232800</v>
      </c>
      <c r="C2020" s="5" t="s">
        <v>26</v>
      </c>
      <c r="D2020" s="4" t="str">
        <f>"吴瑜"</f>
        <v>吴瑜</v>
      </c>
      <c r="E2020" s="4" t="str">
        <f t="shared" si="193"/>
        <v>女</v>
      </c>
    </row>
    <row r="2021" customHeight="1" spans="1:5">
      <c r="A2021" s="4">
        <v>2019</v>
      </c>
      <c r="B2021" s="4" t="str">
        <f>"431720220807094537232984"</f>
        <v>431720220807094537232984</v>
      </c>
      <c r="C2021" s="5" t="s">
        <v>26</v>
      </c>
      <c r="D2021" s="4" t="str">
        <f>"符羽冰"</f>
        <v>符羽冰</v>
      </c>
      <c r="E2021" s="4" t="str">
        <f t="shared" si="193"/>
        <v>女</v>
      </c>
    </row>
    <row r="2022" customHeight="1" spans="1:5">
      <c r="A2022" s="4">
        <v>2020</v>
      </c>
      <c r="B2022" s="4" t="str">
        <f>"431720220807105451233066"</f>
        <v>431720220807105451233066</v>
      </c>
      <c r="C2022" s="5" t="s">
        <v>26</v>
      </c>
      <c r="D2022" s="4" t="str">
        <f>"朱正娲"</f>
        <v>朱正娲</v>
      </c>
      <c r="E2022" s="4" t="str">
        <f t="shared" si="193"/>
        <v>女</v>
      </c>
    </row>
    <row r="2023" customHeight="1" spans="1:5">
      <c r="A2023" s="4">
        <v>2021</v>
      </c>
      <c r="B2023" s="4" t="str">
        <f>"431720220807134150233212"</f>
        <v>431720220807134150233212</v>
      </c>
      <c r="C2023" s="5" t="s">
        <v>26</v>
      </c>
      <c r="D2023" s="4" t="str">
        <f>"黎贵荣"</f>
        <v>黎贵荣</v>
      </c>
      <c r="E2023" s="4" t="str">
        <f>"男"</f>
        <v>男</v>
      </c>
    </row>
    <row r="2024" customHeight="1" spans="1:5">
      <c r="A2024" s="4">
        <v>2022</v>
      </c>
      <c r="B2024" s="4" t="str">
        <f>"431720220807151353233302"</f>
        <v>431720220807151353233302</v>
      </c>
      <c r="C2024" s="5" t="s">
        <v>26</v>
      </c>
      <c r="D2024" s="4" t="str">
        <f>"颜光钰"</f>
        <v>颜光钰</v>
      </c>
      <c r="E2024" s="4" t="str">
        <f t="shared" ref="E2024:E2028" si="194">"女"</f>
        <v>女</v>
      </c>
    </row>
    <row r="2025" customHeight="1" spans="1:5">
      <c r="A2025" s="4">
        <v>2023</v>
      </c>
      <c r="B2025" s="4" t="str">
        <f>"431720220807154717233342"</f>
        <v>431720220807154717233342</v>
      </c>
      <c r="C2025" s="5" t="s">
        <v>26</v>
      </c>
      <c r="D2025" s="4" t="str">
        <f>"吴昭璇"</f>
        <v>吴昭璇</v>
      </c>
      <c r="E2025" s="4" t="str">
        <f t="shared" si="194"/>
        <v>女</v>
      </c>
    </row>
    <row r="2026" customHeight="1" spans="1:5">
      <c r="A2026" s="4">
        <v>2024</v>
      </c>
      <c r="B2026" s="4" t="str">
        <f>"431720220807160937233372"</f>
        <v>431720220807160937233372</v>
      </c>
      <c r="C2026" s="5" t="s">
        <v>26</v>
      </c>
      <c r="D2026" s="4" t="str">
        <f>"罗萍萍"</f>
        <v>罗萍萍</v>
      </c>
      <c r="E2026" s="4" t="str">
        <f t="shared" si="194"/>
        <v>女</v>
      </c>
    </row>
    <row r="2027" customHeight="1" spans="1:5">
      <c r="A2027" s="4">
        <v>2025</v>
      </c>
      <c r="B2027" s="4" t="str">
        <f>"431720220807164240233411"</f>
        <v>431720220807164240233411</v>
      </c>
      <c r="C2027" s="5" t="s">
        <v>26</v>
      </c>
      <c r="D2027" s="4" t="str">
        <f>"陈星玲"</f>
        <v>陈星玲</v>
      </c>
      <c r="E2027" s="4" t="str">
        <f t="shared" si="194"/>
        <v>女</v>
      </c>
    </row>
    <row r="2028" customHeight="1" spans="1:5">
      <c r="A2028" s="4">
        <v>2026</v>
      </c>
      <c r="B2028" s="4" t="str">
        <f>"431720220807165636233429"</f>
        <v>431720220807165636233429</v>
      </c>
      <c r="C2028" s="5" t="s">
        <v>26</v>
      </c>
      <c r="D2028" s="4" t="str">
        <f>"陈海苗"</f>
        <v>陈海苗</v>
      </c>
      <c r="E2028" s="4" t="str">
        <f t="shared" si="194"/>
        <v>女</v>
      </c>
    </row>
    <row r="2029" customHeight="1" spans="1:5">
      <c r="A2029" s="4">
        <v>2027</v>
      </c>
      <c r="B2029" s="4" t="str">
        <f>"431720220807193122233523"</f>
        <v>431720220807193122233523</v>
      </c>
      <c r="C2029" s="5" t="s">
        <v>26</v>
      </c>
      <c r="D2029" s="4" t="str">
        <f>"黄卓行"</f>
        <v>黄卓行</v>
      </c>
      <c r="E2029" s="4" t="str">
        <f>"男"</f>
        <v>男</v>
      </c>
    </row>
    <row r="2030" customHeight="1" spans="1:5">
      <c r="A2030" s="4">
        <v>2028</v>
      </c>
      <c r="B2030" s="4" t="str">
        <f>"431720220807231618233658"</f>
        <v>431720220807231618233658</v>
      </c>
      <c r="C2030" s="5" t="s">
        <v>26</v>
      </c>
      <c r="D2030" s="4" t="str">
        <f>"王安帅"</f>
        <v>王安帅</v>
      </c>
      <c r="E2030" s="4" t="str">
        <f>"男"</f>
        <v>男</v>
      </c>
    </row>
    <row r="2031" customHeight="1" spans="1:5">
      <c r="A2031" s="4">
        <v>2029</v>
      </c>
      <c r="B2031" s="4" t="str">
        <f>"431720220807231936233660"</f>
        <v>431720220807231936233660</v>
      </c>
      <c r="C2031" s="5" t="s">
        <v>26</v>
      </c>
      <c r="D2031" s="4" t="str">
        <f>"邢文婷"</f>
        <v>邢文婷</v>
      </c>
      <c r="E2031" s="4" t="str">
        <f t="shared" ref="E2031:E2046" si="195">"女"</f>
        <v>女</v>
      </c>
    </row>
    <row r="2032" customHeight="1" spans="1:5">
      <c r="A2032" s="4">
        <v>2030</v>
      </c>
      <c r="B2032" s="4" t="str">
        <f>"431720220808164654235946"</f>
        <v>431720220808164654235946</v>
      </c>
      <c r="C2032" s="5" t="s">
        <v>26</v>
      </c>
      <c r="D2032" s="4" t="str">
        <f>"林秋强"</f>
        <v>林秋强</v>
      </c>
      <c r="E2032" s="4" t="str">
        <f t="shared" si="195"/>
        <v>女</v>
      </c>
    </row>
    <row r="2033" customHeight="1" spans="1:5">
      <c r="A2033" s="4">
        <v>2031</v>
      </c>
      <c r="B2033" s="4" t="str">
        <f>"431720220808180630236191"</f>
        <v>431720220808180630236191</v>
      </c>
      <c r="C2033" s="5" t="s">
        <v>26</v>
      </c>
      <c r="D2033" s="4" t="str">
        <f>"陈舒婷"</f>
        <v>陈舒婷</v>
      </c>
      <c r="E2033" s="4" t="str">
        <f t="shared" si="195"/>
        <v>女</v>
      </c>
    </row>
    <row r="2034" customHeight="1" spans="1:5">
      <c r="A2034" s="4">
        <v>2032</v>
      </c>
      <c r="B2034" s="4" t="str">
        <f>"431720220808224617236874"</f>
        <v>431720220808224617236874</v>
      </c>
      <c r="C2034" s="5" t="s">
        <v>26</v>
      </c>
      <c r="D2034" s="4" t="str">
        <f>"胡秋艳"</f>
        <v>胡秋艳</v>
      </c>
      <c r="E2034" s="4" t="str">
        <f t="shared" si="195"/>
        <v>女</v>
      </c>
    </row>
    <row r="2035" customHeight="1" spans="1:5">
      <c r="A2035" s="4">
        <v>2033</v>
      </c>
      <c r="B2035" s="4" t="str">
        <f>"431720220809120243237729"</f>
        <v>431720220809120243237729</v>
      </c>
      <c r="C2035" s="5" t="s">
        <v>26</v>
      </c>
      <c r="D2035" s="4" t="str">
        <f>"吴造云"</f>
        <v>吴造云</v>
      </c>
      <c r="E2035" s="4" t="str">
        <f t="shared" si="195"/>
        <v>女</v>
      </c>
    </row>
    <row r="2036" customHeight="1" spans="1:5">
      <c r="A2036" s="4">
        <v>2034</v>
      </c>
      <c r="B2036" s="4" t="str">
        <f>"431720220809164712238387"</f>
        <v>431720220809164712238387</v>
      </c>
      <c r="C2036" s="5" t="s">
        <v>26</v>
      </c>
      <c r="D2036" s="4" t="str">
        <f>"严琼珍"</f>
        <v>严琼珍</v>
      </c>
      <c r="E2036" s="4" t="str">
        <f t="shared" si="195"/>
        <v>女</v>
      </c>
    </row>
    <row r="2037" customHeight="1" spans="1:5">
      <c r="A2037" s="4">
        <v>2035</v>
      </c>
      <c r="B2037" s="4" t="str">
        <f>"431720220809191454238646"</f>
        <v>431720220809191454238646</v>
      </c>
      <c r="C2037" s="5" t="s">
        <v>26</v>
      </c>
      <c r="D2037" s="4" t="str">
        <f>"罗英梅"</f>
        <v>罗英梅</v>
      </c>
      <c r="E2037" s="4" t="str">
        <f t="shared" si="195"/>
        <v>女</v>
      </c>
    </row>
    <row r="2038" customHeight="1" spans="1:5">
      <c r="A2038" s="4">
        <v>2036</v>
      </c>
      <c r="B2038" s="4" t="str">
        <f>"431720220809202106238769"</f>
        <v>431720220809202106238769</v>
      </c>
      <c r="C2038" s="5" t="s">
        <v>26</v>
      </c>
      <c r="D2038" s="4" t="str">
        <f>"王彤"</f>
        <v>王彤</v>
      </c>
      <c r="E2038" s="4" t="str">
        <f t="shared" si="195"/>
        <v>女</v>
      </c>
    </row>
    <row r="2039" customHeight="1" spans="1:5">
      <c r="A2039" s="4">
        <v>2037</v>
      </c>
      <c r="B2039" s="4" t="str">
        <f>"431720220810095617239613"</f>
        <v>431720220810095617239613</v>
      </c>
      <c r="C2039" s="5" t="s">
        <v>26</v>
      </c>
      <c r="D2039" s="4" t="str">
        <f>"吴万桃"</f>
        <v>吴万桃</v>
      </c>
      <c r="E2039" s="4" t="str">
        <f t="shared" si="195"/>
        <v>女</v>
      </c>
    </row>
    <row r="2040" customHeight="1" spans="1:5">
      <c r="A2040" s="4">
        <v>2038</v>
      </c>
      <c r="B2040" s="4" t="str">
        <f>"431720220810161256240714"</f>
        <v>431720220810161256240714</v>
      </c>
      <c r="C2040" s="5" t="s">
        <v>26</v>
      </c>
      <c r="D2040" s="4" t="str">
        <f>"张少珍"</f>
        <v>张少珍</v>
      </c>
      <c r="E2040" s="4" t="str">
        <f t="shared" si="195"/>
        <v>女</v>
      </c>
    </row>
    <row r="2041" customHeight="1" spans="1:5">
      <c r="A2041" s="4">
        <v>2039</v>
      </c>
      <c r="B2041" s="4" t="str">
        <f>"431720220811145133243053"</f>
        <v>431720220811145133243053</v>
      </c>
      <c r="C2041" s="5" t="s">
        <v>26</v>
      </c>
      <c r="D2041" s="4" t="str">
        <f>"王来银"</f>
        <v>王来银</v>
      </c>
      <c r="E2041" s="4" t="str">
        <f t="shared" si="195"/>
        <v>女</v>
      </c>
    </row>
    <row r="2042" customHeight="1" spans="1:5">
      <c r="A2042" s="4">
        <v>2040</v>
      </c>
      <c r="B2042" s="4" t="str">
        <f>"431720220811191821243568"</f>
        <v>431720220811191821243568</v>
      </c>
      <c r="C2042" s="5" t="s">
        <v>26</v>
      </c>
      <c r="D2042" s="4" t="str">
        <f>"翁先洁"</f>
        <v>翁先洁</v>
      </c>
      <c r="E2042" s="4" t="str">
        <f t="shared" si="195"/>
        <v>女</v>
      </c>
    </row>
    <row r="2043" customHeight="1" spans="1:5">
      <c r="A2043" s="4">
        <v>2041</v>
      </c>
      <c r="B2043" s="4" t="str">
        <f>"431720220812105654244052"</f>
        <v>431720220812105654244052</v>
      </c>
      <c r="C2043" s="5" t="s">
        <v>26</v>
      </c>
      <c r="D2043" s="4" t="str">
        <f>"符燕威"</f>
        <v>符燕威</v>
      </c>
      <c r="E2043" s="4" t="str">
        <f t="shared" si="195"/>
        <v>女</v>
      </c>
    </row>
    <row r="2044" customHeight="1" spans="1:5">
      <c r="A2044" s="4">
        <v>2042</v>
      </c>
      <c r="B2044" s="4" t="str">
        <f>"431720220806101229231417"</f>
        <v>431720220806101229231417</v>
      </c>
      <c r="C2044" s="5" t="s">
        <v>27</v>
      </c>
      <c r="D2044" s="4" t="str">
        <f>"吴帆"</f>
        <v>吴帆</v>
      </c>
      <c r="E2044" s="4" t="str">
        <f t="shared" si="195"/>
        <v>女</v>
      </c>
    </row>
    <row r="2045" customHeight="1" spans="1:5">
      <c r="A2045" s="4">
        <v>2043</v>
      </c>
      <c r="B2045" s="4" t="str">
        <f>"431720220806102221231444"</f>
        <v>431720220806102221231444</v>
      </c>
      <c r="C2045" s="5" t="s">
        <v>27</v>
      </c>
      <c r="D2045" s="4" t="str">
        <f>"蔡文静"</f>
        <v>蔡文静</v>
      </c>
      <c r="E2045" s="4" t="str">
        <f t="shared" si="195"/>
        <v>女</v>
      </c>
    </row>
    <row r="2046" customHeight="1" spans="1:5">
      <c r="A2046" s="4">
        <v>2044</v>
      </c>
      <c r="B2046" s="4" t="str">
        <f>"431720220806103628231491"</f>
        <v>431720220806103628231491</v>
      </c>
      <c r="C2046" s="5" t="s">
        <v>27</v>
      </c>
      <c r="D2046" s="4" t="str">
        <f>"谢晓霞"</f>
        <v>谢晓霞</v>
      </c>
      <c r="E2046" s="4" t="str">
        <f t="shared" si="195"/>
        <v>女</v>
      </c>
    </row>
    <row r="2047" customHeight="1" spans="1:5">
      <c r="A2047" s="4">
        <v>2045</v>
      </c>
      <c r="B2047" s="4" t="str">
        <f>"431720220806103950231500"</f>
        <v>431720220806103950231500</v>
      </c>
      <c r="C2047" s="5" t="s">
        <v>27</v>
      </c>
      <c r="D2047" s="4" t="str">
        <f>"苏浩然"</f>
        <v>苏浩然</v>
      </c>
      <c r="E2047" s="4" t="str">
        <f>"男"</f>
        <v>男</v>
      </c>
    </row>
    <row r="2048" customHeight="1" spans="1:5">
      <c r="A2048" s="4">
        <v>2046</v>
      </c>
      <c r="B2048" s="4" t="str">
        <f>"431720220806105221231541"</f>
        <v>431720220806105221231541</v>
      </c>
      <c r="C2048" s="5" t="s">
        <v>27</v>
      </c>
      <c r="D2048" s="4" t="str">
        <f>"王春晓"</f>
        <v>王春晓</v>
      </c>
      <c r="E2048" s="4" t="str">
        <f t="shared" ref="E2048:E2057" si="196">"女"</f>
        <v>女</v>
      </c>
    </row>
    <row r="2049" customHeight="1" spans="1:5">
      <c r="A2049" s="4">
        <v>2047</v>
      </c>
      <c r="B2049" s="4" t="str">
        <f>"431720220806113117231671"</f>
        <v>431720220806113117231671</v>
      </c>
      <c r="C2049" s="5" t="s">
        <v>27</v>
      </c>
      <c r="D2049" s="4" t="str">
        <f>"赵玉丹"</f>
        <v>赵玉丹</v>
      </c>
      <c r="E2049" s="4" t="str">
        <f t="shared" si="196"/>
        <v>女</v>
      </c>
    </row>
    <row r="2050" customHeight="1" spans="1:5">
      <c r="A2050" s="4">
        <v>2048</v>
      </c>
      <c r="B2050" s="4" t="str">
        <f>"431720220806114051231693"</f>
        <v>431720220806114051231693</v>
      </c>
      <c r="C2050" s="5" t="s">
        <v>27</v>
      </c>
      <c r="D2050" s="4" t="str">
        <f>"王红玲"</f>
        <v>王红玲</v>
      </c>
      <c r="E2050" s="4" t="str">
        <f t="shared" si="196"/>
        <v>女</v>
      </c>
    </row>
    <row r="2051" customHeight="1" spans="1:5">
      <c r="A2051" s="4">
        <v>2049</v>
      </c>
      <c r="B2051" s="4" t="str">
        <f>"431720220806114446231709"</f>
        <v>431720220806114446231709</v>
      </c>
      <c r="C2051" s="5" t="s">
        <v>27</v>
      </c>
      <c r="D2051" s="4" t="str">
        <f>"符小妹"</f>
        <v>符小妹</v>
      </c>
      <c r="E2051" s="4" t="str">
        <f t="shared" si="196"/>
        <v>女</v>
      </c>
    </row>
    <row r="2052" customHeight="1" spans="1:5">
      <c r="A2052" s="4">
        <v>2050</v>
      </c>
      <c r="B2052" s="4" t="str">
        <f>"431720220806123655231850"</f>
        <v>431720220806123655231850</v>
      </c>
      <c r="C2052" s="5" t="s">
        <v>27</v>
      </c>
      <c r="D2052" s="4" t="str">
        <f>"裘小毓"</f>
        <v>裘小毓</v>
      </c>
      <c r="E2052" s="4" t="str">
        <f t="shared" si="196"/>
        <v>女</v>
      </c>
    </row>
    <row r="2053" customHeight="1" spans="1:5">
      <c r="A2053" s="4">
        <v>2051</v>
      </c>
      <c r="B2053" s="4" t="str">
        <f>"431720220806124350231872"</f>
        <v>431720220806124350231872</v>
      </c>
      <c r="C2053" s="5" t="s">
        <v>27</v>
      </c>
      <c r="D2053" s="4" t="str">
        <f>"周小妙"</f>
        <v>周小妙</v>
      </c>
      <c r="E2053" s="4" t="str">
        <f t="shared" si="196"/>
        <v>女</v>
      </c>
    </row>
    <row r="2054" customHeight="1" spans="1:5">
      <c r="A2054" s="4">
        <v>2052</v>
      </c>
      <c r="B2054" s="4" t="str">
        <f>"431720220806133400232008"</f>
        <v>431720220806133400232008</v>
      </c>
      <c r="C2054" s="5" t="s">
        <v>27</v>
      </c>
      <c r="D2054" s="4" t="str">
        <f>"林英"</f>
        <v>林英</v>
      </c>
      <c r="E2054" s="4" t="str">
        <f t="shared" si="196"/>
        <v>女</v>
      </c>
    </row>
    <row r="2055" customHeight="1" spans="1:5">
      <c r="A2055" s="4">
        <v>2053</v>
      </c>
      <c r="B2055" s="4" t="str">
        <f>"431720220806133415232009"</f>
        <v>431720220806133415232009</v>
      </c>
      <c r="C2055" s="5" t="s">
        <v>27</v>
      </c>
      <c r="D2055" s="4" t="str">
        <f>"李鸿"</f>
        <v>李鸿</v>
      </c>
      <c r="E2055" s="4" t="str">
        <f t="shared" si="196"/>
        <v>女</v>
      </c>
    </row>
    <row r="2056" customHeight="1" spans="1:5">
      <c r="A2056" s="4">
        <v>2054</v>
      </c>
      <c r="B2056" s="4" t="str">
        <f>"431720220806145359232171"</f>
        <v>431720220806145359232171</v>
      </c>
      <c r="C2056" s="5" t="s">
        <v>27</v>
      </c>
      <c r="D2056" s="4" t="str">
        <f>"董雪纯"</f>
        <v>董雪纯</v>
      </c>
      <c r="E2056" s="4" t="str">
        <f t="shared" si="196"/>
        <v>女</v>
      </c>
    </row>
    <row r="2057" customHeight="1" spans="1:5">
      <c r="A2057" s="4">
        <v>2055</v>
      </c>
      <c r="B2057" s="4" t="str">
        <f>"431720220806155017232280"</f>
        <v>431720220806155017232280</v>
      </c>
      <c r="C2057" s="5" t="s">
        <v>27</v>
      </c>
      <c r="D2057" s="4" t="str">
        <f>"杨瑜"</f>
        <v>杨瑜</v>
      </c>
      <c r="E2057" s="4" t="str">
        <f t="shared" si="196"/>
        <v>女</v>
      </c>
    </row>
    <row r="2058" customHeight="1" spans="1:5">
      <c r="A2058" s="4">
        <v>2056</v>
      </c>
      <c r="B2058" s="4" t="str">
        <f>"431720220806162434232351"</f>
        <v>431720220806162434232351</v>
      </c>
      <c r="C2058" s="5" t="s">
        <v>27</v>
      </c>
      <c r="D2058" s="4" t="str">
        <f>"王祺定"</f>
        <v>王祺定</v>
      </c>
      <c r="E2058" s="4" t="str">
        <f>"男"</f>
        <v>男</v>
      </c>
    </row>
    <row r="2059" customHeight="1" spans="1:5">
      <c r="A2059" s="4">
        <v>2057</v>
      </c>
      <c r="B2059" s="4" t="str">
        <f>"431720220806162502232353"</f>
        <v>431720220806162502232353</v>
      </c>
      <c r="C2059" s="5" t="s">
        <v>27</v>
      </c>
      <c r="D2059" s="4" t="str">
        <f>"何资颖"</f>
        <v>何资颖</v>
      </c>
      <c r="E2059" s="4" t="str">
        <f t="shared" ref="E2059:E2066" si="197">"女"</f>
        <v>女</v>
      </c>
    </row>
    <row r="2060" customHeight="1" spans="1:5">
      <c r="A2060" s="4">
        <v>2058</v>
      </c>
      <c r="B2060" s="4" t="str">
        <f>"431720220806172007232462"</f>
        <v>431720220806172007232462</v>
      </c>
      <c r="C2060" s="5" t="s">
        <v>27</v>
      </c>
      <c r="D2060" s="4" t="str">
        <f>"许彩熊"</f>
        <v>许彩熊</v>
      </c>
      <c r="E2060" s="4" t="str">
        <f t="shared" si="197"/>
        <v>女</v>
      </c>
    </row>
    <row r="2061" customHeight="1" spans="1:5">
      <c r="A2061" s="4">
        <v>2059</v>
      </c>
      <c r="B2061" s="4" t="str">
        <f>"431720220806182657232557"</f>
        <v>431720220806182657232557</v>
      </c>
      <c r="C2061" s="5" t="s">
        <v>27</v>
      </c>
      <c r="D2061" s="4" t="str">
        <f>"符妍彩"</f>
        <v>符妍彩</v>
      </c>
      <c r="E2061" s="4" t="str">
        <f t="shared" si="197"/>
        <v>女</v>
      </c>
    </row>
    <row r="2062" customHeight="1" spans="1:5">
      <c r="A2062" s="4">
        <v>2060</v>
      </c>
      <c r="B2062" s="4" t="str">
        <f>"431720220806182754232558"</f>
        <v>431720220806182754232558</v>
      </c>
      <c r="C2062" s="5" t="s">
        <v>27</v>
      </c>
      <c r="D2062" s="4" t="str">
        <f>"朱行佳"</f>
        <v>朱行佳</v>
      </c>
      <c r="E2062" s="4" t="str">
        <f t="shared" si="197"/>
        <v>女</v>
      </c>
    </row>
    <row r="2063" customHeight="1" spans="1:5">
      <c r="A2063" s="4">
        <v>2061</v>
      </c>
      <c r="B2063" s="4" t="str">
        <f>"431720220806193849232624"</f>
        <v>431720220806193849232624</v>
      </c>
      <c r="C2063" s="5" t="s">
        <v>27</v>
      </c>
      <c r="D2063" s="4" t="str">
        <f>"刘玉花"</f>
        <v>刘玉花</v>
      </c>
      <c r="E2063" s="4" t="str">
        <f t="shared" si="197"/>
        <v>女</v>
      </c>
    </row>
    <row r="2064" customHeight="1" spans="1:5">
      <c r="A2064" s="4">
        <v>2062</v>
      </c>
      <c r="B2064" s="4" t="str">
        <f>"431720220806194207232631"</f>
        <v>431720220806194207232631</v>
      </c>
      <c r="C2064" s="5" t="s">
        <v>27</v>
      </c>
      <c r="D2064" s="4" t="str">
        <f>"陈妮"</f>
        <v>陈妮</v>
      </c>
      <c r="E2064" s="4" t="str">
        <f t="shared" si="197"/>
        <v>女</v>
      </c>
    </row>
    <row r="2065" customHeight="1" spans="1:5">
      <c r="A2065" s="4">
        <v>2063</v>
      </c>
      <c r="B2065" s="4" t="str">
        <f>"431720220806212259232744"</f>
        <v>431720220806212259232744</v>
      </c>
      <c r="C2065" s="5" t="s">
        <v>27</v>
      </c>
      <c r="D2065" s="4" t="str">
        <f>"李丽川"</f>
        <v>李丽川</v>
      </c>
      <c r="E2065" s="4" t="str">
        <f t="shared" si="197"/>
        <v>女</v>
      </c>
    </row>
    <row r="2066" customHeight="1" spans="1:5">
      <c r="A2066" s="4">
        <v>2064</v>
      </c>
      <c r="B2066" s="4" t="str">
        <f>"431720220807000156232879"</f>
        <v>431720220807000156232879</v>
      </c>
      <c r="C2066" s="5" t="s">
        <v>27</v>
      </c>
      <c r="D2066" s="4" t="str">
        <f>"李懿博"</f>
        <v>李懿博</v>
      </c>
      <c r="E2066" s="4" t="str">
        <f t="shared" si="197"/>
        <v>女</v>
      </c>
    </row>
    <row r="2067" customHeight="1" spans="1:5">
      <c r="A2067" s="4">
        <v>2065</v>
      </c>
      <c r="B2067" s="4" t="str">
        <f>"431720220807003232232884"</f>
        <v>431720220807003232232884</v>
      </c>
      <c r="C2067" s="5" t="s">
        <v>27</v>
      </c>
      <c r="D2067" s="4" t="str">
        <f>"李泽章"</f>
        <v>李泽章</v>
      </c>
      <c r="E2067" s="4" t="str">
        <f>"男"</f>
        <v>男</v>
      </c>
    </row>
    <row r="2068" customHeight="1" spans="1:5">
      <c r="A2068" s="4">
        <v>2066</v>
      </c>
      <c r="B2068" s="4" t="str">
        <f>"431720220807070309232904"</f>
        <v>431720220807070309232904</v>
      </c>
      <c r="C2068" s="5" t="s">
        <v>27</v>
      </c>
      <c r="D2068" s="4" t="str">
        <f>"何秋燕"</f>
        <v>何秋燕</v>
      </c>
      <c r="E2068" s="4" t="str">
        <f t="shared" ref="E2068:E2075" si="198">"女"</f>
        <v>女</v>
      </c>
    </row>
    <row r="2069" customHeight="1" spans="1:5">
      <c r="A2069" s="4">
        <v>2067</v>
      </c>
      <c r="B2069" s="4" t="str">
        <f>"431720220807080642232920"</f>
        <v>431720220807080642232920</v>
      </c>
      <c r="C2069" s="5" t="s">
        <v>27</v>
      </c>
      <c r="D2069" s="4" t="str">
        <f>"卢妹"</f>
        <v>卢妹</v>
      </c>
      <c r="E2069" s="4" t="str">
        <f t="shared" si="198"/>
        <v>女</v>
      </c>
    </row>
    <row r="2070" customHeight="1" spans="1:5">
      <c r="A2070" s="4">
        <v>2068</v>
      </c>
      <c r="B2070" s="4" t="str">
        <f>"431720220807082642232929"</f>
        <v>431720220807082642232929</v>
      </c>
      <c r="C2070" s="5" t="s">
        <v>27</v>
      </c>
      <c r="D2070" s="4" t="str">
        <f>"麦小菊"</f>
        <v>麦小菊</v>
      </c>
      <c r="E2070" s="4" t="str">
        <f t="shared" si="198"/>
        <v>女</v>
      </c>
    </row>
    <row r="2071" customHeight="1" spans="1:5">
      <c r="A2071" s="4">
        <v>2069</v>
      </c>
      <c r="B2071" s="4" t="str">
        <f>"431720220807100154233003"</f>
        <v>431720220807100154233003</v>
      </c>
      <c r="C2071" s="5" t="s">
        <v>27</v>
      </c>
      <c r="D2071" s="4" t="str">
        <f>"孙海津"</f>
        <v>孙海津</v>
      </c>
      <c r="E2071" s="4" t="str">
        <f t="shared" si="198"/>
        <v>女</v>
      </c>
    </row>
    <row r="2072" customHeight="1" spans="1:5">
      <c r="A2072" s="4">
        <v>2070</v>
      </c>
      <c r="B2072" s="4" t="str">
        <f>"431720220807102656233031"</f>
        <v>431720220807102656233031</v>
      </c>
      <c r="C2072" s="5" t="s">
        <v>27</v>
      </c>
      <c r="D2072" s="4" t="str">
        <f>"吴进文"</f>
        <v>吴进文</v>
      </c>
      <c r="E2072" s="4" t="str">
        <f t="shared" si="198"/>
        <v>女</v>
      </c>
    </row>
    <row r="2073" customHeight="1" spans="1:5">
      <c r="A2073" s="4">
        <v>2071</v>
      </c>
      <c r="B2073" s="4" t="str">
        <f>"431720220807103848233045"</f>
        <v>431720220807103848233045</v>
      </c>
      <c r="C2073" s="5" t="s">
        <v>27</v>
      </c>
      <c r="D2073" s="4" t="str">
        <f>"李智芳"</f>
        <v>李智芳</v>
      </c>
      <c r="E2073" s="4" t="str">
        <f t="shared" si="198"/>
        <v>女</v>
      </c>
    </row>
    <row r="2074" customHeight="1" spans="1:5">
      <c r="A2074" s="4">
        <v>2072</v>
      </c>
      <c r="B2074" s="4" t="str">
        <f>"431720220807160857233370"</f>
        <v>431720220807160857233370</v>
      </c>
      <c r="C2074" s="5" t="s">
        <v>27</v>
      </c>
      <c r="D2074" s="4" t="str">
        <f>"王卫玲"</f>
        <v>王卫玲</v>
      </c>
      <c r="E2074" s="4" t="str">
        <f t="shared" si="198"/>
        <v>女</v>
      </c>
    </row>
    <row r="2075" customHeight="1" spans="1:5">
      <c r="A2075" s="4">
        <v>2073</v>
      </c>
      <c r="B2075" s="4" t="str">
        <f>"431720220807162748233396"</f>
        <v>431720220807162748233396</v>
      </c>
      <c r="C2075" s="5" t="s">
        <v>27</v>
      </c>
      <c r="D2075" s="4" t="str">
        <f>"王玉珠"</f>
        <v>王玉珠</v>
      </c>
      <c r="E2075" s="4" t="str">
        <f t="shared" si="198"/>
        <v>女</v>
      </c>
    </row>
    <row r="2076" customHeight="1" spans="1:5">
      <c r="A2076" s="4">
        <v>2074</v>
      </c>
      <c r="B2076" s="4" t="str">
        <f>"431720220807165634233428"</f>
        <v>431720220807165634233428</v>
      </c>
      <c r="C2076" s="5" t="s">
        <v>27</v>
      </c>
      <c r="D2076" s="4" t="str">
        <f>"李英铭"</f>
        <v>李英铭</v>
      </c>
      <c r="E2076" s="4" t="str">
        <f>"男"</f>
        <v>男</v>
      </c>
    </row>
    <row r="2077" customHeight="1" spans="1:5">
      <c r="A2077" s="4">
        <v>2075</v>
      </c>
      <c r="B2077" s="4" t="str">
        <f>"431720220807192223233521"</f>
        <v>431720220807192223233521</v>
      </c>
      <c r="C2077" s="5" t="s">
        <v>27</v>
      </c>
      <c r="D2077" s="4" t="str">
        <f>"高朝玲"</f>
        <v>高朝玲</v>
      </c>
      <c r="E2077" s="4" t="str">
        <f t="shared" ref="E2077:E2084" si="199">"女"</f>
        <v>女</v>
      </c>
    </row>
    <row r="2078" customHeight="1" spans="1:5">
      <c r="A2078" s="4">
        <v>2076</v>
      </c>
      <c r="B2078" s="4" t="str">
        <f>"431720220807214648233610"</f>
        <v>431720220807214648233610</v>
      </c>
      <c r="C2078" s="5" t="s">
        <v>27</v>
      </c>
      <c r="D2078" s="4" t="str">
        <f>"符永程"</f>
        <v>符永程</v>
      </c>
      <c r="E2078" s="4" t="str">
        <f>"男"</f>
        <v>男</v>
      </c>
    </row>
    <row r="2079" customHeight="1" spans="1:5">
      <c r="A2079" s="4">
        <v>2077</v>
      </c>
      <c r="B2079" s="4" t="str">
        <f>"431720220807225758233651"</f>
        <v>431720220807225758233651</v>
      </c>
      <c r="C2079" s="5" t="s">
        <v>27</v>
      </c>
      <c r="D2079" s="4" t="str">
        <f>"郭宏霞"</f>
        <v>郭宏霞</v>
      </c>
      <c r="E2079" s="4" t="str">
        <f t="shared" si="199"/>
        <v>女</v>
      </c>
    </row>
    <row r="2080" customHeight="1" spans="1:5">
      <c r="A2080" s="4">
        <v>2078</v>
      </c>
      <c r="B2080" s="4" t="str">
        <f>"431720220808013425233687"</f>
        <v>431720220808013425233687</v>
      </c>
      <c r="C2080" s="5" t="s">
        <v>27</v>
      </c>
      <c r="D2080" s="4" t="str">
        <f>"符方惠"</f>
        <v>符方惠</v>
      </c>
      <c r="E2080" s="4" t="str">
        <f t="shared" si="199"/>
        <v>女</v>
      </c>
    </row>
    <row r="2081" customHeight="1" spans="1:5">
      <c r="A2081" s="4">
        <v>2079</v>
      </c>
      <c r="B2081" s="4" t="str">
        <f>"431720220808013957233688"</f>
        <v>431720220808013957233688</v>
      </c>
      <c r="C2081" s="5" t="s">
        <v>27</v>
      </c>
      <c r="D2081" s="4" t="str">
        <f>"唐敏"</f>
        <v>唐敏</v>
      </c>
      <c r="E2081" s="4" t="str">
        <f t="shared" si="199"/>
        <v>女</v>
      </c>
    </row>
    <row r="2082" customHeight="1" spans="1:5">
      <c r="A2082" s="4">
        <v>2080</v>
      </c>
      <c r="B2082" s="4" t="str">
        <f>"431720220808082541233712"</f>
        <v>431720220808082541233712</v>
      </c>
      <c r="C2082" s="5" t="s">
        <v>27</v>
      </c>
      <c r="D2082" s="4" t="str">
        <f>"黄源华"</f>
        <v>黄源华</v>
      </c>
      <c r="E2082" s="4" t="str">
        <f t="shared" si="199"/>
        <v>女</v>
      </c>
    </row>
    <row r="2083" customHeight="1" spans="1:5">
      <c r="A2083" s="4">
        <v>2081</v>
      </c>
      <c r="B2083" s="4" t="str">
        <f>"431720220808100927234485"</f>
        <v>431720220808100927234485</v>
      </c>
      <c r="C2083" s="5" t="s">
        <v>27</v>
      </c>
      <c r="D2083" s="4" t="str">
        <f>"张春婵"</f>
        <v>张春婵</v>
      </c>
      <c r="E2083" s="4" t="str">
        <f t="shared" si="199"/>
        <v>女</v>
      </c>
    </row>
    <row r="2084" customHeight="1" spans="1:5">
      <c r="A2084" s="4">
        <v>2082</v>
      </c>
      <c r="B2084" s="4" t="str">
        <f>"431720220808115007235015"</f>
        <v>431720220808115007235015</v>
      </c>
      <c r="C2084" s="5" t="s">
        <v>27</v>
      </c>
      <c r="D2084" s="4" t="str">
        <f>"周家欣"</f>
        <v>周家欣</v>
      </c>
      <c r="E2084" s="4" t="str">
        <f t="shared" si="199"/>
        <v>女</v>
      </c>
    </row>
    <row r="2085" customHeight="1" spans="1:5">
      <c r="A2085" s="4">
        <v>2083</v>
      </c>
      <c r="B2085" s="4" t="str">
        <f>"431720220808133301235378"</f>
        <v>431720220808133301235378</v>
      </c>
      <c r="C2085" s="5" t="s">
        <v>27</v>
      </c>
      <c r="D2085" s="4" t="str">
        <f>"何家鹏"</f>
        <v>何家鹏</v>
      </c>
      <c r="E2085" s="4" t="str">
        <f>"男"</f>
        <v>男</v>
      </c>
    </row>
    <row r="2086" customHeight="1" spans="1:5">
      <c r="A2086" s="4">
        <v>2084</v>
      </c>
      <c r="B2086" s="4" t="str">
        <f>"431720220808135436235423"</f>
        <v>431720220808135436235423</v>
      </c>
      <c r="C2086" s="5" t="s">
        <v>27</v>
      </c>
      <c r="D2086" s="4" t="str">
        <f>"何蕾"</f>
        <v>何蕾</v>
      </c>
      <c r="E2086" s="4" t="str">
        <f t="shared" ref="E2086:E2095" si="200">"女"</f>
        <v>女</v>
      </c>
    </row>
    <row r="2087" customHeight="1" spans="1:5">
      <c r="A2087" s="4">
        <v>2085</v>
      </c>
      <c r="B2087" s="4" t="str">
        <f>"431720220808161601235850"</f>
        <v>431720220808161601235850</v>
      </c>
      <c r="C2087" s="5" t="s">
        <v>27</v>
      </c>
      <c r="D2087" s="4" t="str">
        <f>"蔡雪"</f>
        <v>蔡雪</v>
      </c>
      <c r="E2087" s="4" t="str">
        <f t="shared" si="200"/>
        <v>女</v>
      </c>
    </row>
    <row r="2088" customHeight="1" spans="1:5">
      <c r="A2088" s="4">
        <v>2086</v>
      </c>
      <c r="B2088" s="4" t="str">
        <f>"431720220808161743235858"</f>
        <v>431720220808161743235858</v>
      </c>
      <c r="C2088" s="5" t="s">
        <v>27</v>
      </c>
      <c r="D2088" s="4" t="str">
        <f>"李香妮"</f>
        <v>李香妮</v>
      </c>
      <c r="E2088" s="4" t="str">
        <f t="shared" si="200"/>
        <v>女</v>
      </c>
    </row>
    <row r="2089" customHeight="1" spans="1:5">
      <c r="A2089" s="4">
        <v>2087</v>
      </c>
      <c r="B2089" s="4" t="str">
        <f>"431720220808173529236118"</f>
        <v>431720220808173529236118</v>
      </c>
      <c r="C2089" s="5" t="s">
        <v>27</v>
      </c>
      <c r="D2089" s="4" t="str">
        <f>"孙婧莹"</f>
        <v>孙婧莹</v>
      </c>
      <c r="E2089" s="4" t="str">
        <f t="shared" si="200"/>
        <v>女</v>
      </c>
    </row>
    <row r="2090" customHeight="1" spans="1:5">
      <c r="A2090" s="4">
        <v>2088</v>
      </c>
      <c r="B2090" s="4" t="str">
        <f>"431720220808183027236249"</f>
        <v>431720220808183027236249</v>
      </c>
      <c r="C2090" s="5" t="s">
        <v>27</v>
      </c>
      <c r="D2090" s="4" t="str">
        <f>"李平丹"</f>
        <v>李平丹</v>
      </c>
      <c r="E2090" s="4" t="str">
        <f t="shared" si="200"/>
        <v>女</v>
      </c>
    </row>
    <row r="2091" customHeight="1" spans="1:5">
      <c r="A2091" s="4">
        <v>2089</v>
      </c>
      <c r="B2091" s="4" t="str">
        <f>"431720220808200740236485"</f>
        <v>431720220808200740236485</v>
      </c>
      <c r="C2091" s="5" t="s">
        <v>27</v>
      </c>
      <c r="D2091" s="4" t="str">
        <f>"谢小芸"</f>
        <v>谢小芸</v>
      </c>
      <c r="E2091" s="4" t="str">
        <f t="shared" si="200"/>
        <v>女</v>
      </c>
    </row>
    <row r="2092" customHeight="1" spans="1:5">
      <c r="A2092" s="4">
        <v>2090</v>
      </c>
      <c r="B2092" s="4" t="str">
        <f>"431720220808201609236510"</f>
        <v>431720220808201609236510</v>
      </c>
      <c r="C2092" s="5" t="s">
        <v>27</v>
      </c>
      <c r="D2092" s="4" t="str">
        <f>"吴蔓"</f>
        <v>吴蔓</v>
      </c>
      <c r="E2092" s="4" t="str">
        <f t="shared" si="200"/>
        <v>女</v>
      </c>
    </row>
    <row r="2093" customHeight="1" spans="1:5">
      <c r="A2093" s="4">
        <v>2091</v>
      </c>
      <c r="B2093" s="4" t="str">
        <f>"431720220808201823236516"</f>
        <v>431720220808201823236516</v>
      </c>
      <c r="C2093" s="5" t="s">
        <v>27</v>
      </c>
      <c r="D2093" s="4" t="str">
        <f>"黄奕"</f>
        <v>黄奕</v>
      </c>
      <c r="E2093" s="4" t="str">
        <f t="shared" si="200"/>
        <v>女</v>
      </c>
    </row>
    <row r="2094" customHeight="1" spans="1:5">
      <c r="A2094" s="4">
        <v>2092</v>
      </c>
      <c r="B2094" s="4" t="str">
        <f>"431720220808202828236546"</f>
        <v>431720220808202828236546</v>
      </c>
      <c r="C2094" s="5" t="s">
        <v>27</v>
      </c>
      <c r="D2094" s="4" t="str">
        <f>"李助桂"</f>
        <v>李助桂</v>
      </c>
      <c r="E2094" s="4" t="str">
        <f t="shared" si="200"/>
        <v>女</v>
      </c>
    </row>
    <row r="2095" customHeight="1" spans="1:5">
      <c r="A2095" s="4">
        <v>2093</v>
      </c>
      <c r="B2095" s="4" t="str">
        <f>"431720220808214201236727"</f>
        <v>431720220808214201236727</v>
      </c>
      <c r="C2095" s="5" t="s">
        <v>27</v>
      </c>
      <c r="D2095" s="4" t="str">
        <f>"陈彩逸"</f>
        <v>陈彩逸</v>
      </c>
      <c r="E2095" s="4" t="str">
        <f t="shared" si="200"/>
        <v>女</v>
      </c>
    </row>
    <row r="2096" customHeight="1" spans="1:5">
      <c r="A2096" s="4">
        <v>2094</v>
      </c>
      <c r="B2096" s="4" t="str">
        <f>"431720220808220524236793"</f>
        <v>431720220808220524236793</v>
      </c>
      <c r="C2096" s="5" t="s">
        <v>27</v>
      </c>
      <c r="D2096" s="4" t="str">
        <f>"张泽锋"</f>
        <v>张泽锋</v>
      </c>
      <c r="E2096" s="4" t="str">
        <f>"男"</f>
        <v>男</v>
      </c>
    </row>
    <row r="2097" customHeight="1" spans="1:5">
      <c r="A2097" s="4">
        <v>2095</v>
      </c>
      <c r="B2097" s="4" t="str">
        <f>"431720220808231902236909"</f>
        <v>431720220808231902236909</v>
      </c>
      <c r="C2097" s="5" t="s">
        <v>27</v>
      </c>
      <c r="D2097" s="4" t="str">
        <f>"陈婷婷"</f>
        <v>陈婷婷</v>
      </c>
      <c r="E2097" s="4" t="str">
        <f t="shared" ref="E2097:E2110" si="201">"女"</f>
        <v>女</v>
      </c>
    </row>
    <row r="2098" customHeight="1" spans="1:5">
      <c r="A2098" s="4">
        <v>2096</v>
      </c>
      <c r="B2098" s="4" t="str">
        <f>"431720220808234029236925"</f>
        <v>431720220808234029236925</v>
      </c>
      <c r="C2098" s="5" t="s">
        <v>27</v>
      </c>
      <c r="D2098" s="4" t="str">
        <f>"罗德翠"</f>
        <v>罗德翠</v>
      </c>
      <c r="E2098" s="4" t="str">
        <f t="shared" si="201"/>
        <v>女</v>
      </c>
    </row>
    <row r="2099" customHeight="1" spans="1:5">
      <c r="A2099" s="4">
        <v>2097</v>
      </c>
      <c r="B2099" s="4" t="str">
        <f>"431720220809111413237613"</f>
        <v>431720220809111413237613</v>
      </c>
      <c r="C2099" s="5" t="s">
        <v>27</v>
      </c>
      <c r="D2099" s="4" t="str">
        <f>"王小琴"</f>
        <v>王小琴</v>
      </c>
      <c r="E2099" s="4" t="str">
        <f t="shared" si="201"/>
        <v>女</v>
      </c>
    </row>
    <row r="2100" customHeight="1" spans="1:5">
      <c r="A2100" s="4">
        <v>2098</v>
      </c>
      <c r="B2100" s="4" t="str">
        <f>"431720220809124042237817"</f>
        <v>431720220809124042237817</v>
      </c>
      <c r="C2100" s="5" t="s">
        <v>27</v>
      </c>
      <c r="D2100" s="4" t="str">
        <f>"苏雅琳"</f>
        <v>苏雅琳</v>
      </c>
      <c r="E2100" s="4" t="str">
        <f t="shared" si="201"/>
        <v>女</v>
      </c>
    </row>
    <row r="2101" customHeight="1" spans="1:5">
      <c r="A2101" s="4">
        <v>2099</v>
      </c>
      <c r="B2101" s="4" t="str">
        <f>"431720220809132318237928"</f>
        <v>431720220809132318237928</v>
      </c>
      <c r="C2101" s="5" t="s">
        <v>27</v>
      </c>
      <c r="D2101" s="4" t="str">
        <f>"王欣欣"</f>
        <v>王欣欣</v>
      </c>
      <c r="E2101" s="4" t="str">
        <f t="shared" si="201"/>
        <v>女</v>
      </c>
    </row>
    <row r="2102" customHeight="1" spans="1:5">
      <c r="A2102" s="4">
        <v>2100</v>
      </c>
      <c r="B2102" s="4" t="str">
        <f>"431720220809141739238010"</f>
        <v>431720220809141739238010</v>
      </c>
      <c r="C2102" s="5" t="s">
        <v>27</v>
      </c>
      <c r="D2102" s="4" t="str">
        <f>"王少环"</f>
        <v>王少环</v>
      </c>
      <c r="E2102" s="4" t="str">
        <f t="shared" si="201"/>
        <v>女</v>
      </c>
    </row>
    <row r="2103" customHeight="1" spans="1:5">
      <c r="A2103" s="4">
        <v>2101</v>
      </c>
      <c r="B2103" s="4" t="str">
        <f>"431720220809145116238082"</f>
        <v>431720220809145116238082</v>
      </c>
      <c r="C2103" s="5" t="s">
        <v>27</v>
      </c>
      <c r="D2103" s="4" t="str">
        <f>"董美妤"</f>
        <v>董美妤</v>
      </c>
      <c r="E2103" s="4" t="str">
        <f t="shared" si="201"/>
        <v>女</v>
      </c>
    </row>
    <row r="2104" customHeight="1" spans="1:5">
      <c r="A2104" s="4">
        <v>2102</v>
      </c>
      <c r="B2104" s="4" t="str">
        <f>"431720220809145636238100"</f>
        <v>431720220809145636238100</v>
      </c>
      <c r="C2104" s="5" t="s">
        <v>27</v>
      </c>
      <c r="D2104" s="4" t="str">
        <f>"陈凤霞"</f>
        <v>陈凤霞</v>
      </c>
      <c r="E2104" s="4" t="str">
        <f t="shared" si="201"/>
        <v>女</v>
      </c>
    </row>
    <row r="2105" customHeight="1" spans="1:5">
      <c r="A2105" s="4">
        <v>2103</v>
      </c>
      <c r="B2105" s="4" t="str">
        <f>"431720220809184933238608"</f>
        <v>431720220809184933238608</v>
      </c>
      <c r="C2105" s="5" t="s">
        <v>27</v>
      </c>
      <c r="D2105" s="4" t="str">
        <f>"冯铃雅"</f>
        <v>冯铃雅</v>
      </c>
      <c r="E2105" s="4" t="str">
        <f t="shared" si="201"/>
        <v>女</v>
      </c>
    </row>
    <row r="2106" customHeight="1" spans="1:5">
      <c r="A2106" s="4">
        <v>2104</v>
      </c>
      <c r="B2106" s="4" t="str">
        <f>"431720220809195434238712"</f>
        <v>431720220809195434238712</v>
      </c>
      <c r="C2106" s="5" t="s">
        <v>27</v>
      </c>
      <c r="D2106" s="4" t="str">
        <f>"张芳梅"</f>
        <v>张芳梅</v>
      </c>
      <c r="E2106" s="4" t="str">
        <f t="shared" si="201"/>
        <v>女</v>
      </c>
    </row>
    <row r="2107" customHeight="1" spans="1:5">
      <c r="A2107" s="4">
        <v>2105</v>
      </c>
      <c r="B2107" s="4" t="str">
        <f>"431720220809195701238716"</f>
        <v>431720220809195701238716</v>
      </c>
      <c r="C2107" s="5" t="s">
        <v>27</v>
      </c>
      <c r="D2107" s="4" t="str">
        <f>"王娇丁"</f>
        <v>王娇丁</v>
      </c>
      <c r="E2107" s="4" t="str">
        <f t="shared" si="201"/>
        <v>女</v>
      </c>
    </row>
    <row r="2108" customHeight="1" spans="1:5">
      <c r="A2108" s="4">
        <v>2106</v>
      </c>
      <c r="B2108" s="4" t="str">
        <f>"431720220809202502238784"</f>
        <v>431720220809202502238784</v>
      </c>
      <c r="C2108" s="5" t="s">
        <v>27</v>
      </c>
      <c r="D2108" s="4" t="str">
        <f>"陈惠丽"</f>
        <v>陈惠丽</v>
      </c>
      <c r="E2108" s="4" t="str">
        <f t="shared" si="201"/>
        <v>女</v>
      </c>
    </row>
    <row r="2109" customHeight="1" spans="1:5">
      <c r="A2109" s="4">
        <v>2107</v>
      </c>
      <c r="B2109" s="4" t="str">
        <f>"431720220809234255239156"</f>
        <v>431720220809234255239156</v>
      </c>
      <c r="C2109" s="5" t="s">
        <v>27</v>
      </c>
      <c r="D2109" s="4" t="str">
        <f>"王红芳"</f>
        <v>王红芳</v>
      </c>
      <c r="E2109" s="4" t="str">
        <f t="shared" si="201"/>
        <v>女</v>
      </c>
    </row>
    <row r="2110" customHeight="1" spans="1:5">
      <c r="A2110" s="4">
        <v>2108</v>
      </c>
      <c r="B2110" s="4" t="str">
        <f>"431720220810090330239399"</f>
        <v>431720220810090330239399</v>
      </c>
      <c r="C2110" s="5" t="s">
        <v>27</v>
      </c>
      <c r="D2110" s="4" t="str">
        <f>"徐长女"</f>
        <v>徐长女</v>
      </c>
      <c r="E2110" s="4" t="str">
        <f t="shared" si="201"/>
        <v>女</v>
      </c>
    </row>
    <row r="2111" customHeight="1" spans="1:5">
      <c r="A2111" s="4">
        <v>2109</v>
      </c>
      <c r="B2111" s="4" t="str">
        <f>"431720220810111331239877"</f>
        <v>431720220810111331239877</v>
      </c>
      <c r="C2111" s="5" t="s">
        <v>27</v>
      </c>
      <c r="D2111" s="4" t="str">
        <f>"邢高高"</f>
        <v>邢高高</v>
      </c>
      <c r="E2111" s="4" t="str">
        <f>"男"</f>
        <v>男</v>
      </c>
    </row>
    <row r="2112" customHeight="1" spans="1:5">
      <c r="A2112" s="4">
        <v>2110</v>
      </c>
      <c r="B2112" s="4" t="str">
        <f>"431720220810153954240582"</f>
        <v>431720220810153954240582</v>
      </c>
      <c r="C2112" s="5" t="s">
        <v>27</v>
      </c>
      <c r="D2112" s="4" t="str">
        <f>"李潇潇"</f>
        <v>李潇潇</v>
      </c>
      <c r="E2112" s="4" t="str">
        <f t="shared" ref="E2112:E2124" si="202">"女"</f>
        <v>女</v>
      </c>
    </row>
    <row r="2113" customHeight="1" spans="1:5">
      <c r="A2113" s="4">
        <v>2111</v>
      </c>
      <c r="B2113" s="4" t="str">
        <f>"431720220810155434240651"</f>
        <v>431720220810155434240651</v>
      </c>
      <c r="C2113" s="5" t="s">
        <v>27</v>
      </c>
      <c r="D2113" s="4" t="str">
        <f>"周梅英"</f>
        <v>周梅英</v>
      </c>
      <c r="E2113" s="4" t="str">
        <f t="shared" si="202"/>
        <v>女</v>
      </c>
    </row>
    <row r="2114" customHeight="1" spans="1:5">
      <c r="A2114" s="4">
        <v>2112</v>
      </c>
      <c r="B2114" s="4" t="str">
        <f>"431720220810211051241427"</f>
        <v>431720220810211051241427</v>
      </c>
      <c r="C2114" s="5" t="s">
        <v>27</v>
      </c>
      <c r="D2114" s="4" t="str">
        <f>"颜森莹"</f>
        <v>颜森莹</v>
      </c>
      <c r="E2114" s="4" t="str">
        <f t="shared" si="202"/>
        <v>女</v>
      </c>
    </row>
    <row r="2115" customHeight="1" spans="1:5">
      <c r="A2115" s="4">
        <v>2113</v>
      </c>
      <c r="B2115" s="4" t="str">
        <f>"431720220810213218241482"</f>
        <v>431720220810213218241482</v>
      </c>
      <c r="C2115" s="5" t="s">
        <v>27</v>
      </c>
      <c r="D2115" s="4" t="str">
        <f>"周晶晶"</f>
        <v>周晶晶</v>
      </c>
      <c r="E2115" s="4" t="str">
        <f t="shared" si="202"/>
        <v>女</v>
      </c>
    </row>
    <row r="2116" customHeight="1" spans="1:5">
      <c r="A2116" s="4">
        <v>2114</v>
      </c>
      <c r="B2116" s="4" t="str">
        <f>"431720220810224355241657"</f>
        <v>431720220810224355241657</v>
      </c>
      <c r="C2116" s="5" t="s">
        <v>27</v>
      </c>
      <c r="D2116" s="4" t="str">
        <f>"符传丹"</f>
        <v>符传丹</v>
      </c>
      <c r="E2116" s="4" t="str">
        <f t="shared" si="202"/>
        <v>女</v>
      </c>
    </row>
    <row r="2117" customHeight="1" spans="1:5">
      <c r="A2117" s="4">
        <v>2115</v>
      </c>
      <c r="B2117" s="4" t="str">
        <f>"431720220811082056241902"</f>
        <v>431720220811082056241902</v>
      </c>
      <c r="C2117" s="5" t="s">
        <v>27</v>
      </c>
      <c r="D2117" s="4" t="str">
        <f>"薛姑美 "</f>
        <v>薛姑美 </v>
      </c>
      <c r="E2117" s="4" t="str">
        <f t="shared" si="202"/>
        <v>女</v>
      </c>
    </row>
    <row r="2118" customHeight="1" spans="1:5">
      <c r="A2118" s="4">
        <v>2116</v>
      </c>
      <c r="B2118" s="4" t="str">
        <f>"431720220811100628242238"</f>
        <v>431720220811100628242238</v>
      </c>
      <c r="C2118" s="5" t="s">
        <v>27</v>
      </c>
      <c r="D2118" s="4" t="str">
        <f>"刘萍"</f>
        <v>刘萍</v>
      </c>
      <c r="E2118" s="4" t="str">
        <f t="shared" si="202"/>
        <v>女</v>
      </c>
    </row>
    <row r="2119" customHeight="1" spans="1:5">
      <c r="A2119" s="4">
        <v>2117</v>
      </c>
      <c r="B2119" s="4" t="str">
        <f>"431720220811110229242415"</f>
        <v>431720220811110229242415</v>
      </c>
      <c r="C2119" s="5" t="s">
        <v>27</v>
      </c>
      <c r="D2119" s="4" t="str">
        <f>"陈燕"</f>
        <v>陈燕</v>
      </c>
      <c r="E2119" s="4" t="str">
        <f t="shared" si="202"/>
        <v>女</v>
      </c>
    </row>
    <row r="2120" customHeight="1" spans="1:5">
      <c r="A2120" s="4">
        <v>2118</v>
      </c>
      <c r="B2120" s="4" t="str">
        <f>"431720220811111504242457"</f>
        <v>431720220811111504242457</v>
      </c>
      <c r="C2120" s="5" t="s">
        <v>27</v>
      </c>
      <c r="D2120" s="4" t="str">
        <f>"廖小娴"</f>
        <v>廖小娴</v>
      </c>
      <c r="E2120" s="4" t="str">
        <f t="shared" si="202"/>
        <v>女</v>
      </c>
    </row>
    <row r="2121" customHeight="1" spans="1:5">
      <c r="A2121" s="4">
        <v>2119</v>
      </c>
      <c r="B2121" s="4" t="str">
        <f>"431720220811185535243557"</f>
        <v>431720220811185535243557</v>
      </c>
      <c r="C2121" s="5" t="s">
        <v>27</v>
      </c>
      <c r="D2121" s="4" t="str">
        <f>"邓冠香"</f>
        <v>邓冠香</v>
      </c>
      <c r="E2121" s="4" t="str">
        <f t="shared" si="202"/>
        <v>女</v>
      </c>
    </row>
    <row r="2122" customHeight="1" spans="1:5">
      <c r="A2122" s="4">
        <v>2120</v>
      </c>
      <c r="B2122" s="4" t="str">
        <f>"431720220811202859243610"</f>
        <v>431720220811202859243610</v>
      </c>
      <c r="C2122" s="5" t="s">
        <v>27</v>
      </c>
      <c r="D2122" s="4" t="str">
        <f>"吴淑玲"</f>
        <v>吴淑玲</v>
      </c>
      <c r="E2122" s="4" t="str">
        <f t="shared" si="202"/>
        <v>女</v>
      </c>
    </row>
    <row r="2123" customHeight="1" spans="1:5">
      <c r="A2123" s="4">
        <v>2121</v>
      </c>
      <c r="B2123" s="4" t="str">
        <f>"431720220811220305243666"</f>
        <v>431720220811220305243666</v>
      </c>
      <c r="C2123" s="5" t="s">
        <v>27</v>
      </c>
      <c r="D2123" s="4" t="str">
        <f>"黎楚怡"</f>
        <v>黎楚怡</v>
      </c>
      <c r="E2123" s="4" t="str">
        <f t="shared" si="202"/>
        <v>女</v>
      </c>
    </row>
    <row r="2124" customHeight="1" spans="1:5">
      <c r="A2124" s="4">
        <v>2122</v>
      </c>
      <c r="B2124" s="4" t="str">
        <f>"431720220811224029243691"</f>
        <v>431720220811224029243691</v>
      </c>
      <c r="C2124" s="5" t="s">
        <v>27</v>
      </c>
      <c r="D2124" s="4" t="str">
        <f>"吴雪玲"</f>
        <v>吴雪玲</v>
      </c>
      <c r="E2124" s="4" t="str">
        <f t="shared" si="202"/>
        <v>女</v>
      </c>
    </row>
    <row r="2125" customHeight="1" spans="1:5">
      <c r="A2125" s="4">
        <v>2123</v>
      </c>
      <c r="B2125" s="4" t="str">
        <f>"431720220812073049243770"</f>
        <v>431720220812073049243770</v>
      </c>
      <c r="C2125" s="5" t="s">
        <v>27</v>
      </c>
      <c r="D2125" s="4" t="str">
        <f>"王永明"</f>
        <v>王永明</v>
      </c>
      <c r="E2125" s="4" t="str">
        <f>"男"</f>
        <v>男</v>
      </c>
    </row>
    <row r="2126" customHeight="1" spans="1:5">
      <c r="A2126" s="4">
        <v>2124</v>
      </c>
      <c r="B2126" s="4" t="str">
        <f>"431720220812091259243843"</f>
        <v>431720220812091259243843</v>
      </c>
      <c r="C2126" s="5" t="s">
        <v>27</v>
      </c>
      <c r="D2126" s="4" t="str">
        <f>"薛伟积"</f>
        <v>薛伟积</v>
      </c>
      <c r="E2126" s="4" t="str">
        <f t="shared" ref="E2126:E2128" si="203">"女"</f>
        <v>女</v>
      </c>
    </row>
    <row r="2127" customHeight="1" spans="1:5">
      <c r="A2127" s="4">
        <v>2125</v>
      </c>
      <c r="B2127" s="4" t="str">
        <f>"431720220812103834244006"</f>
        <v>431720220812103834244006</v>
      </c>
      <c r="C2127" s="5" t="s">
        <v>27</v>
      </c>
      <c r="D2127" s="4" t="str">
        <f>"董翠浪"</f>
        <v>董翠浪</v>
      </c>
      <c r="E2127" s="4" t="str">
        <f t="shared" si="203"/>
        <v>女</v>
      </c>
    </row>
    <row r="2128" customHeight="1" spans="1:5">
      <c r="A2128" s="4">
        <v>2126</v>
      </c>
      <c r="B2128" s="4" t="str">
        <f>"431720220812115210244130"</f>
        <v>431720220812115210244130</v>
      </c>
      <c r="C2128" s="5" t="s">
        <v>27</v>
      </c>
      <c r="D2128" s="4" t="str">
        <f>"王裕銮"</f>
        <v>王裕銮</v>
      </c>
      <c r="E2128" s="4" t="str">
        <f t="shared" si="203"/>
        <v>女</v>
      </c>
    </row>
    <row r="2129" customHeight="1" spans="1:5">
      <c r="A2129" s="4">
        <v>2127</v>
      </c>
      <c r="B2129" s="4" t="str">
        <f>"431720220812121243244156"</f>
        <v>431720220812121243244156</v>
      </c>
      <c r="C2129" s="5" t="s">
        <v>27</v>
      </c>
      <c r="D2129" s="4" t="str">
        <f>"陈会奇"</f>
        <v>陈会奇</v>
      </c>
      <c r="E2129" s="4" t="str">
        <f>"男"</f>
        <v>男</v>
      </c>
    </row>
    <row r="2130" customHeight="1" spans="1:5">
      <c r="A2130" s="4">
        <v>2128</v>
      </c>
      <c r="B2130" s="4" t="str">
        <f>"431720220812140123244280"</f>
        <v>431720220812140123244280</v>
      </c>
      <c r="C2130" s="5" t="s">
        <v>27</v>
      </c>
      <c r="D2130" s="4" t="str">
        <f>"陈春金"</f>
        <v>陈春金</v>
      </c>
      <c r="E2130" s="4" t="str">
        <f t="shared" ref="E2130:E2132" si="204">"女"</f>
        <v>女</v>
      </c>
    </row>
    <row r="2131" customHeight="1" spans="1:5">
      <c r="A2131" s="4">
        <v>2129</v>
      </c>
      <c r="B2131" s="4" t="str">
        <f>"431720220812142905244303"</f>
        <v>431720220812142905244303</v>
      </c>
      <c r="C2131" s="5" t="s">
        <v>27</v>
      </c>
      <c r="D2131" s="4" t="str">
        <f>"吴乐乐"</f>
        <v>吴乐乐</v>
      </c>
      <c r="E2131" s="4" t="str">
        <f t="shared" si="204"/>
        <v>女</v>
      </c>
    </row>
    <row r="2132" customHeight="1" spans="1:5">
      <c r="A2132" s="4">
        <v>2130</v>
      </c>
      <c r="B2132" s="4" t="str">
        <f>"431720220812152640244377"</f>
        <v>431720220812152640244377</v>
      </c>
      <c r="C2132" s="5" t="s">
        <v>27</v>
      </c>
      <c r="D2132" s="4" t="str">
        <f>"李兰琼"</f>
        <v>李兰琼</v>
      </c>
      <c r="E2132" s="4" t="str">
        <f t="shared" si="204"/>
        <v>女</v>
      </c>
    </row>
    <row r="2133" customHeight="1" spans="1:5">
      <c r="A2133" s="4">
        <v>2131</v>
      </c>
      <c r="B2133" s="4" t="str">
        <f>"431720220806090719231195"</f>
        <v>431720220806090719231195</v>
      </c>
      <c r="C2133" s="5" t="s">
        <v>28</v>
      </c>
      <c r="D2133" s="4" t="str">
        <f>"朱允康"</f>
        <v>朱允康</v>
      </c>
      <c r="E2133" s="4" t="str">
        <f t="shared" ref="E2133:E2140" si="205">"男"</f>
        <v>男</v>
      </c>
    </row>
    <row r="2134" customHeight="1" spans="1:5">
      <c r="A2134" s="4">
        <v>2132</v>
      </c>
      <c r="B2134" s="4" t="str">
        <f>"431720220806100435231395"</f>
        <v>431720220806100435231395</v>
      </c>
      <c r="C2134" s="5" t="s">
        <v>28</v>
      </c>
      <c r="D2134" s="4" t="str">
        <f>"吴定秋"</f>
        <v>吴定秋</v>
      </c>
      <c r="E2134" s="4" t="str">
        <f>"女"</f>
        <v>女</v>
      </c>
    </row>
    <row r="2135" customHeight="1" spans="1:5">
      <c r="A2135" s="4">
        <v>2133</v>
      </c>
      <c r="B2135" s="4" t="str">
        <f>"431720220806101701231429"</f>
        <v>431720220806101701231429</v>
      </c>
      <c r="C2135" s="5" t="s">
        <v>28</v>
      </c>
      <c r="D2135" s="4" t="str">
        <f>"刘昭慧"</f>
        <v>刘昭慧</v>
      </c>
      <c r="E2135" s="4" t="str">
        <f t="shared" si="205"/>
        <v>男</v>
      </c>
    </row>
    <row r="2136" customHeight="1" spans="1:5">
      <c r="A2136" s="4">
        <v>2134</v>
      </c>
      <c r="B2136" s="4" t="str">
        <f>"431720220806102822231461"</f>
        <v>431720220806102822231461</v>
      </c>
      <c r="C2136" s="5" t="s">
        <v>28</v>
      </c>
      <c r="D2136" s="4" t="str">
        <f>"林万焱"</f>
        <v>林万焱</v>
      </c>
      <c r="E2136" s="4" t="str">
        <f t="shared" si="205"/>
        <v>男</v>
      </c>
    </row>
    <row r="2137" customHeight="1" spans="1:5">
      <c r="A2137" s="4">
        <v>2135</v>
      </c>
      <c r="B2137" s="4" t="str">
        <f>"431720220806103007231468"</f>
        <v>431720220806103007231468</v>
      </c>
      <c r="C2137" s="5" t="s">
        <v>28</v>
      </c>
      <c r="D2137" s="4" t="str">
        <f>"王小波"</f>
        <v>王小波</v>
      </c>
      <c r="E2137" s="4" t="str">
        <f t="shared" si="205"/>
        <v>男</v>
      </c>
    </row>
    <row r="2138" customHeight="1" spans="1:5">
      <c r="A2138" s="4">
        <v>2136</v>
      </c>
      <c r="B2138" s="4" t="str">
        <f>"431720220806103246231479"</f>
        <v>431720220806103246231479</v>
      </c>
      <c r="C2138" s="5" t="s">
        <v>28</v>
      </c>
      <c r="D2138" s="4" t="str">
        <f>"洪绵刚"</f>
        <v>洪绵刚</v>
      </c>
      <c r="E2138" s="4" t="str">
        <f t="shared" si="205"/>
        <v>男</v>
      </c>
    </row>
    <row r="2139" customHeight="1" spans="1:5">
      <c r="A2139" s="4">
        <v>2137</v>
      </c>
      <c r="B2139" s="4" t="str">
        <f>"431720220806105559231554"</f>
        <v>431720220806105559231554</v>
      </c>
      <c r="C2139" s="5" t="s">
        <v>28</v>
      </c>
      <c r="D2139" s="4" t="str">
        <f>"黄亚家"</f>
        <v>黄亚家</v>
      </c>
      <c r="E2139" s="4" t="str">
        <f t="shared" si="205"/>
        <v>男</v>
      </c>
    </row>
    <row r="2140" customHeight="1" spans="1:5">
      <c r="A2140" s="4">
        <v>2138</v>
      </c>
      <c r="B2140" s="4" t="str">
        <f>"431720220806105705231558"</f>
        <v>431720220806105705231558</v>
      </c>
      <c r="C2140" s="5" t="s">
        <v>28</v>
      </c>
      <c r="D2140" s="4" t="str">
        <f>"李汉光"</f>
        <v>李汉光</v>
      </c>
      <c r="E2140" s="4" t="str">
        <f t="shared" si="205"/>
        <v>男</v>
      </c>
    </row>
    <row r="2141" customHeight="1" spans="1:5">
      <c r="A2141" s="4">
        <v>2139</v>
      </c>
      <c r="B2141" s="4" t="str">
        <f>"431720220806110200231569"</f>
        <v>431720220806110200231569</v>
      </c>
      <c r="C2141" s="5" t="s">
        <v>28</v>
      </c>
      <c r="D2141" s="4" t="str">
        <f>"欧连艳"</f>
        <v>欧连艳</v>
      </c>
      <c r="E2141" s="4" t="str">
        <f>"女"</f>
        <v>女</v>
      </c>
    </row>
    <row r="2142" customHeight="1" spans="1:5">
      <c r="A2142" s="4">
        <v>2140</v>
      </c>
      <c r="B2142" s="4" t="str">
        <f>"431720220806111103231595"</f>
        <v>431720220806111103231595</v>
      </c>
      <c r="C2142" s="5" t="s">
        <v>28</v>
      </c>
      <c r="D2142" s="4" t="str">
        <f>"陈王辉"</f>
        <v>陈王辉</v>
      </c>
      <c r="E2142" s="4" t="str">
        <f t="shared" ref="E2142:E2148" si="206">"男"</f>
        <v>男</v>
      </c>
    </row>
    <row r="2143" customHeight="1" spans="1:5">
      <c r="A2143" s="4">
        <v>2141</v>
      </c>
      <c r="B2143" s="4" t="str">
        <f>"431720220806111350231608"</f>
        <v>431720220806111350231608</v>
      </c>
      <c r="C2143" s="5" t="s">
        <v>28</v>
      </c>
      <c r="D2143" s="4" t="str">
        <f>"周志祥"</f>
        <v>周志祥</v>
      </c>
      <c r="E2143" s="4" t="str">
        <f t="shared" si="206"/>
        <v>男</v>
      </c>
    </row>
    <row r="2144" customHeight="1" spans="1:5">
      <c r="A2144" s="4">
        <v>2142</v>
      </c>
      <c r="B2144" s="4" t="str">
        <f>"431720220806112340231643"</f>
        <v>431720220806112340231643</v>
      </c>
      <c r="C2144" s="5" t="s">
        <v>28</v>
      </c>
      <c r="D2144" s="4" t="str">
        <f>"杜盛"</f>
        <v>杜盛</v>
      </c>
      <c r="E2144" s="4" t="str">
        <f t="shared" si="206"/>
        <v>男</v>
      </c>
    </row>
    <row r="2145" customHeight="1" spans="1:5">
      <c r="A2145" s="4">
        <v>2143</v>
      </c>
      <c r="B2145" s="4" t="str">
        <f>"431720220806123648231849"</f>
        <v>431720220806123648231849</v>
      </c>
      <c r="C2145" s="5" t="s">
        <v>28</v>
      </c>
      <c r="D2145" s="4" t="str">
        <f>"林道武"</f>
        <v>林道武</v>
      </c>
      <c r="E2145" s="4" t="str">
        <f t="shared" si="206"/>
        <v>男</v>
      </c>
    </row>
    <row r="2146" customHeight="1" spans="1:5">
      <c r="A2146" s="4">
        <v>2144</v>
      </c>
      <c r="B2146" s="4" t="str">
        <f>"431720220806125827231915"</f>
        <v>431720220806125827231915</v>
      </c>
      <c r="C2146" s="5" t="s">
        <v>28</v>
      </c>
      <c r="D2146" s="4" t="str">
        <f>"李兴军"</f>
        <v>李兴军</v>
      </c>
      <c r="E2146" s="4" t="str">
        <f t="shared" si="206"/>
        <v>男</v>
      </c>
    </row>
    <row r="2147" customHeight="1" spans="1:5">
      <c r="A2147" s="4">
        <v>2145</v>
      </c>
      <c r="B2147" s="4" t="str">
        <f>"431720220806140706232079"</f>
        <v>431720220806140706232079</v>
      </c>
      <c r="C2147" s="5" t="s">
        <v>28</v>
      </c>
      <c r="D2147" s="4" t="str">
        <f>"王修哲"</f>
        <v>王修哲</v>
      </c>
      <c r="E2147" s="4" t="str">
        <f t="shared" si="206"/>
        <v>男</v>
      </c>
    </row>
    <row r="2148" customHeight="1" spans="1:5">
      <c r="A2148" s="4">
        <v>2146</v>
      </c>
      <c r="B2148" s="4" t="str">
        <f>"431720220806150550232189"</f>
        <v>431720220806150550232189</v>
      </c>
      <c r="C2148" s="5" t="s">
        <v>28</v>
      </c>
      <c r="D2148" s="4" t="str">
        <f>"陈荣蕃"</f>
        <v>陈荣蕃</v>
      </c>
      <c r="E2148" s="4" t="str">
        <f t="shared" si="206"/>
        <v>男</v>
      </c>
    </row>
    <row r="2149" customHeight="1" spans="1:5">
      <c r="A2149" s="4">
        <v>2147</v>
      </c>
      <c r="B2149" s="4" t="str">
        <f>"431720220806160256232308"</f>
        <v>431720220806160256232308</v>
      </c>
      <c r="C2149" s="5" t="s">
        <v>28</v>
      </c>
      <c r="D2149" s="4" t="str">
        <f>"苏燕妮"</f>
        <v>苏燕妮</v>
      </c>
      <c r="E2149" s="4" t="str">
        <f>"女"</f>
        <v>女</v>
      </c>
    </row>
    <row r="2150" customHeight="1" spans="1:5">
      <c r="A2150" s="4">
        <v>2148</v>
      </c>
      <c r="B2150" s="4" t="str">
        <f>"431720220806160356232312"</f>
        <v>431720220806160356232312</v>
      </c>
      <c r="C2150" s="5" t="s">
        <v>28</v>
      </c>
      <c r="D2150" s="4" t="str">
        <f>"黄家泽"</f>
        <v>黄家泽</v>
      </c>
      <c r="E2150" s="4" t="str">
        <f t="shared" ref="E2150:E2163" si="207">"男"</f>
        <v>男</v>
      </c>
    </row>
    <row r="2151" customHeight="1" spans="1:5">
      <c r="A2151" s="4">
        <v>2149</v>
      </c>
      <c r="B2151" s="4" t="str">
        <f>"431720220806163035232365"</f>
        <v>431720220806163035232365</v>
      </c>
      <c r="C2151" s="5" t="s">
        <v>28</v>
      </c>
      <c r="D2151" s="4" t="str">
        <f>"赖理智"</f>
        <v>赖理智</v>
      </c>
      <c r="E2151" s="4" t="str">
        <f t="shared" si="207"/>
        <v>男</v>
      </c>
    </row>
    <row r="2152" customHeight="1" spans="1:5">
      <c r="A2152" s="4">
        <v>2150</v>
      </c>
      <c r="B2152" s="4" t="str">
        <f>"431720220806182227232552"</f>
        <v>431720220806182227232552</v>
      </c>
      <c r="C2152" s="5" t="s">
        <v>28</v>
      </c>
      <c r="D2152" s="4" t="str">
        <f>"吴崇武"</f>
        <v>吴崇武</v>
      </c>
      <c r="E2152" s="4" t="str">
        <f t="shared" si="207"/>
        <v>男</v>
      </c>
    </row>
    <row r="2153" customHeight="1" spans="1:5">
      <c r="A2153" s="4">
        <v>2151</v>
      </c>
      <c r="B2153" s="4" t="str">
        <f>"431720220806194633232641"</f>
        <v>431720220806194633232641</v>
      </c>
      <c r="C2153" s="5" t="s">
        <v>28</v>
      </c>
      <c r="D2153" s="4" t="str">
        <f>"李运睿"</f>
        <v>李运睿</v>
      </c>
      <c r="E2153" s="4" t="str">
        <f t="shared" si="207"/>
        <v>男</v>
      </c>
    </row>
    <row r="2154" customHeight="1" spans="1:5">
      <c r="A2154" s="4">
        <v>2152</v>
      </c>
      <c r="B2154" s="4" t="str">
        <f>"431720220806195012232645"</f>
        <v>431720220806195012232645</v>
      </c>
      <c r="C2154" s="5" t="s">
        <v>28</v>
      </c>
      <c r="D2154" s="4" t="str">
        <f>"赵卓慧"</f>
        <v>赵卓慧</v>
      </c>
      <c r="E2154" s="4" t="str">
        <f t="shared" si="207"/>
        <v>男</v>
      </c>
    </row>
    <row r="2155" customHeight="1" spans="1:5">
      <c r="A2155" s="4">
        <v>2153</v>
      </c>
      <c r="B2155" s="4" t="str">
        <f>"431720220806200334232663"</f>
        <v>431720220806200334232663</v>
      </c>
      <c r="C2155" s="5" t="s">
        <v>28</v>
      </c>
      <c r="D2155" s="4" t="str">
        <f>"黎基进"</f>
        <v>黎基进</v>
      </c>
      <c r="E2155" s="4" t="str">
        <f t="shared" si="207"/>
        <v>男</v>
      </c>
    </row>
    <row r="2156" customHeight="1" spans="1:5">
      <c r="A2156" s="4">
        <v>2154</v>
      </c>
      <c r="B2156" s="4" t="str">
        <f>"431720220806203323232701"</f>
        <v>431720220806203323232701</v>
      </c>
      <c r="C2156" s="5" t="s">
        <v>28</v>
      </c>
      <c r="D2156" s="4" t="str">
        <f>"叶民可"</f>
        <v>叶民可</v>
      </c>
      <c r="E2156" s="4" t="str">
        <f t="shared" si="207"/>
        <v>男</v>
      </c>
    </row>
    <row r="2157" customHeight="1" spans="1:5">
      <c r="A2157" s="4">
        <v>2155</v>
      </c>
      <c r="B2157" s="4" t="str">
        <f>"431720220807120230233131"</f>
        <v>431720220807120230233131</v>
      </c>
      <c r="C2157" s="5" t="s">
        <v>28</v>
      </c>
      <c r="D2157" s="4" t="str">
        <f>"欧哲彬"</f>
        <v>欧哲彬</v>
      </c>
      <c r="E2157" s="4" t="str">
        <f t="shared" si="207"/>
        <v>男</v>
      </c>
    </row>
    <row r="2158" customHeight="1" spans="1:5">
      <c r="A2158" s="4">
        <v>2156</v>
      </c>
      <c r="B2158" s="4" t="str">
        <f>"431720220807130644233184"</f>
        <v>431720220807130644233184</v>
      </c>
      <c r="C2158" s="5" t="s">
        <v>28</v>
      </c>
      <c r="D2158" s="4" t="str">
        <f>"沙永辉"</f>
        <v>沙永辉</v>
      </c>
      <c r="E2158" s="4" t="str">
        <f t="shared" si="207"/>
        <v>男</v>
      </c>
    </row>
    <row r="2159" customHeight="1" spans="1:5">
      <c r="A2159" s="4">
        <v>2157</v>
      </c>
      <c r="B2159" s="4" t="str">
        <f>"431720220807134348233215"</f>
        <v>431720220807134348233215</v>
      </c>
      <c r="C2159" s="5" t="s">
        <v>28</v>
      </c>
      <c r="D2159" s="4" t="str">
        <f>"刘威"</f>
        <v>刘威</v>
      </c>
      <c r="E2159" s="4" t="str">
        <f t="shared" si="207"/>
        <v>男</v>
      </c>
    </row>
    <row r="2160" customHeight="1" spans="1:5">
      <c r="A2160" s="4">
        <v>2158</v>
      </c>
      <c r="B2160" s="4" t="str">
        <f>"431720220807144903233276"</f>
        <v>431720220807144903233276</v>
      </c>
      <c r="C2160" s="5" t="s">
        <v>28</v>
      </c>
      <c r="D2160" s="4" t="str">
        <f>"梅望劲"</f>
        <v>梅望劲</v>
      </c>
      <c r="E2160" s="4" t="str">
        <f t="shared" si="207"/>
        <v>男</v>
      </c>
    </row>
    <row r="2161" customHeight="1" spans="1:5">
      <c r="A2161" s="4">
        <v>2159</v>
      </c>
      <c r="B2161" s="4" t="str">
        <f>"431720220807151253233298"</f>
        <v>431720220807151253233298</v>
      </c>
      <c r="C2161" s="5" t="s">
        <v>28</v>
      </c>
      <c r="D2161" s="4" t="str">
        <f>"李珏"</f>
        <v>李珏</v>
      </c>
      <c r="E2161" s="4" t="str">
        <f t="shared" si="207"/>
        <v>男</v>
      </c>
    </row>
    <row r="2162" customHeight="1" spans="1:5">
      <c r="A2162" s="4">
        <v>2160</v>
      </c>
      <c r="B2162" s="4" t="str">
        <f>"431720220807161652233383"</f>
        <v>431720220807161652233383</v>
      </c>
      <c r="C2162" s="5" t="s">
        <v>28</v>
      </c>
      <c r="D2162" s="4" t="str">
        <f>"王健康"</f>
        <v>王健康</v>
      </c>
      <c r="E2162" s="4" t="str">
        <f t="shared" si="207"/>
        <v>男</v>
      </c>
    </row>
    <row r="2163" customHeight="1" spans="1:5">
      <c r="A2163" s="4">
        <v>2161</v>
      </c>
      <c r="B2163" s="4" t="str">
        <f>"431720220807172213233449"</f>
        <v>431720220807172213233449</v>
      </c>
      <c r="C2163" s="5" t="s">
        <v>28</v>
      </c>
      <c r="D2163" s="4" t="str">
        <f>"林鑫宇"</f>
        <v>林鑫宇</v>
      </c>
      <c r="E2163" s="4" t="str">
        <f t="shared" si="207"/>
        <v>男</v>
      </c>
    </row>
    <row r="2164" customHeight="1" spans="1:5">
      <c r="A2164" s="4">
        <v>2162</v>
      </c>
      <c r="B2164" s="4" t="str">
        <f>"431720220807181832233493"</f>
        <v>431720220807181832233493</v>
      </c>
      <c r="C2164" s="5" t="s">
        <v>28</v>
      </c>
      <c r="D2164" s="4" t="str">
        <f>"梁朝娜"</f>
        <v>梁朝娜</v>
      </c>
      <c r="E2164" s="4" t="str">
        <f>"女"</f>
        <v>女</v>
      </c>
    </row>
    <row r="2165" customHeight="1" spans="1:5">
      <c r="A2165" s="4">
        <v>2163</v>
      </c>
      <c r="B2165" s="4" t="str">
        <f>"431720220808031830233693"</f>
        <v>431720220808031830233693</v>
      </c>
      <c r="C2165" s="5" t="s">
        <v>28</v>
      </c>
      <c r="D2165" s="4" t="str">
        <f>"李水坤"</f>
        <v>李水坤</v>
      </c>
      <c r="E2165" s="4" t="str">
        <f t="shared" ref="E2165:E2196" si="208">"男"</f>
        <v>男</v>
      </c>
    </row>
    <row r="2166" customHeight="1" spans="1:5">
      <c r="A2166" s="4">
        <v>2164</v>
      </c>
      <c r="B2166" s="4" t="str">
        <f>"431720220808110713234843"</f>
        <v>431720220808110713234843</v>
      </c>
      <c r="C2166" s="5" t="s">
        <v>28</v>
      </c>
      <c r="D2166" s="4" t="str">
        <f>"王有世"</f>
        <v>王有世</v>
      </c>
      <c r="E2166" s="4" t="str">
        <f t="shared" si="208"/>
        <v>男</v>
      </c>
    </row>
    <row r="2167" customHeight="1" spans="1:5">
      <c r="A2167" s="4">
        <v>2165</v>
      </c>
      <c r="B2167" s="4" t="str">
        <f>"431720220808121322235107"</f>
        <v>431720220808121322235107</v>
      </c>
      <c r="C2167" s="5" t="s">
        <v>28</v>
      </c>
      <c r="D2167" s="4" t="str">
        <f>"符孟铍"</f>
        <v>符孟铍</v>
      </c>
      <c r="E2167" s="4" t="str">
        <f t="shared" si="208"/>
        <v>男</v>
      </c>
    </row>
    <row r="2168" customHeight="1" spans="1:5">
      <c r="A2168" s="4">
        <v>2166</v>
      </c>
      <c r="B2168" s="4" t="str">
        <f>"431720220808165311235970"</f>
        <v>431720220808165311235970</v>
      </c>
      <c r="C2168" s="5" t="s">
        <v>28</v>
      </c>
      <c r="D2168" s="4" t="str">
        <f>"孙于琅"</f>
        <v>孙于琅</v>
      </c>
      <c r="E2168" s="4" t="str">
        <f t="shared" si="208"/>
        <v>男</v>
      </c>
    </row>
    <row r="2169" customHeight="1" spans="1:5">
      <c r="A2169" s="4">
        <v>2167</v>
      </c>
      <c r="B2169" s="4" t="str">
        <f>"431720220808183559236264"</f>
        <v>431720220808183559236264</v>
      </c>
      <c r="C2169" s="5" t="s">
        <v>28</v>
      </c>
      <c r="D2169" s="4" t="str">
        <f>"王永文"</f>
        <v>王永文</v>
      </c>
      <c r="E2169" s="4" t="str">
        <f t="shared" si="208"/>
        <v>男</v>
      </c>
    </row>
    <row r="2170" customHeight="1" spans="1:5">
      <c r="A2170" s="4">
        <v>2168</v>
      </c>
      <c r="B2170" s="4" t="str">
        <f>"431720220808202723236545"</f>
        <v>431720220808202723236545</v>
      </c>
      <c r="C2170" s="5" t="s">
        <v>28</v>
      </c>
      <c r="D2170" s="4" t="str">
        <f>"杨剑"</f>
        <v>杨剑</v>
      </c>
      <c r="E2170" s="4" t="str">
        <f t="shared" si="208"/>
        <v>男</v>
      </c>
    </row>
    <row r="2171" customHeight="1" spans="1:5">
      <c r="A2171" s="4">
        <v>2169</v>
      </c>
      <c r="B2171" s="4" t="str">
        <f>"431720220808225916236887"</f>
        <v>431720220808225916236887</v>
      </c>
      <c r="C2171" s="5" t="s">
        <v>28</v>
      </c>
      <c r="D2171" s="4" t="str">
        <f>"林政健"</f>
        <v>林政健</v>
      </c>
      <c r="E2171" s="4" t="str">
        <f t="shared" si="208"/>
        <v>男</v>
      </c>
    </row>
    <row r="2172" customHeight="1" spans="1:5">
      <c r="A2172" s="4">
        <v>2170</v>
      </c>
      <c r="B2172" s="4" t="str">
        <f>"431720220809091259237212"</f>
        <v>431720220809091259237212</v>
      </c>
      <c r="C2172" s="5" t="s">
        <v>28</v>
      </c>
      <c r="D2172" s="4" t="str">
        <f>"王艳磊"</f>
        <v>王艳磊</v>
      </c>
      <c r="E2172" s="4" t="str">
        <f t="shared" si="208"/>
        <v>男</v>
      </c>
    </row>
    <row r="2173" customHeight="1" spans="1:5">
      <c r="A2173" s="4">
        <v>2171</v>
      </c>
      <c r="B2173" s="4" t="str">
        <f>"431720220809101322237404"</f>
        <v>431720220809101322237404</v>
      </c>
      <c r="C2173" s="5" t="s">
        <v>28</v>
      </c>
      <c r="D2173" s="4" t="str">
        <f>"符大树"</f>
        <v>符大树</v>
      </c>
      <c r="E2173" s="4" t="str">
        <f t="shared" si="208"/>
        <v>男</v>
      </c>
    </row>
    <row r="2174" customHeight="1" spans="1:5">
      <c r="A2174" s="4">
        <v>2172</v>
      </c>
      <c r="B2174" s="4" t="str">
        <f>"431720220809110714237590"</f>
        <v>431720220809110714237590</v>
      </c>
      <c r="C2174" s="5" t="s">
        <v>28</v>
      </c>
      <c r="D2174" s="4" t="str">
        <f>"郑宁宇"</f>
        <v>郑宁宇</v>
      </c>
      <c r="E2174" s="4" t="str">
        <f t="shared" si="208"/>
        <v>男</v>
      </c>
    </row>
    <row r="2175" customHeight="1" spans="1:5">
      <c r="A2175" s="4">
        <v>2173</v>
      </c>
      <c r="B2175" s="4" t="str">
        <f>"431720220809122334237767"</f>
        <v>431720220809122334237767</v>
      </c>
      <c r="C2175" s="5" t="s">
        <v>28</v>
      </c>
      <c r="D2175" s="4" t="str">
        <f>"李昌寅"</f>
        <v>李昌寅</v>
      </c>
      <c r="E2175" s="4" t="str">
        <f t="shared" si="208"/>
        <v>男</v>
      </c>
    </row>
    <row r="2176" customHeight="1" spans="1:5">
      <c r="A2176" s="4">
        <v>2174</v>
      </c>
      <c r="B2176" s="4" t="str">
        <f>"431720220809171832238456"</f>
        <v>431720220809171832238456</v>
      </c>
      <c r="C2176" s="5" t="s">
        <v>28</v>
      </c>
      <c r="D2176" s="4" t="str">
        <f>"吉育伟"</f>
        <v>吉育伟</v>
      </c>
      <c r="E2176" s="4" t="str">
        <f t="shared" si="208"/>
        <v>男</v>
      </c>
    </row>
    <row r="2177" customHeight="1" spans="1:5">
      <c r="A2177" s="4">
        <v>2175</v>
      </c>
      <c r="B2177" s="4" t="str">
        <f>"431720220809194720238701"</f>
        <v>431720220809194720238701</v>
      </c>
      <c r="C2177" s="5" t="s">
        <v>28</v>
      </c>
      <c r="D2177" s="4" t="str">
        <f>"朱发东"</f>
        <v>朱发东</v>
      </c>
      <c r="E2177" s="4" t="str">
        <f t="shared" si="208"/>
        <v>男</v>
      </c>
    </row>
    <row r="2178" customHeight="1" spans="1:5">
      <c r="A2178" s="4">
        <v>2176</v>
      </c>
      <c r="B2178" s="4" t="str">
        <f>"431720220809210959238870"</f>
        <v>431720220809210959238870</v>
      </c>
      <c r="C2178" s="5" t="s">
        <v>28</v>
      </c>
      <c r="D2178" s="4" t="str">
        <f>"许伟允"</f>
        <v>许伟允</v>
      </c>
      <c r="E2178" s="4" t="str">
        <f t="shared" si="208"/>
        <v>男</v>
      </c>
    </row>
    <row r="2179" customHeight="1" spans="1:5">
      <c r="A2179" s="4">
        <v>2177</v>
      </c>
      <c r="B2179" s="4" t="str">
        <f>"431720220810125407240163"</f>
        <v>431720220810125407240163</v>
      </c>
      <c r="C2179" s="5" t="s">
        <v>28</v>
      </c>
      <c r="D2179" s="4" t="str">
        <f>"王运来"</f>
        <v>王运来</v>
      </c>
      <c r="E2179" s="4" t="str">
        <f t="shared" si="208"/>
        <v>男</v>
      </c>
    </row>
    <row r="2180" customHeight="1" spans="1:5">
      <c r="A2180" s="4">
        <v>2178</v>
      </c>
      <c r="B2180" s="4" t="str">
        <f>"431720220810185414241112"</f>
        <v>431720220810185414241112</v>
      </c>
      <c r="C2180" s="5" t="s">
        <v>28</v>
      </c>
      <c r="D2180" s="4" t="str">
        <f>"王先清"</f>
        <v>王先清</v>
      </c>
      <c r="E2180" s="4" t="str">
        <f t="shared" si="208"/>
        <v>男</v>
      </c>
    </row>
    <row r="2181" customHeight="1" spans="1:5">
      <c r="A2181" s="4">
        <v>2179</v>
      </c>
      <c r="B2181" s="4" t="str">
        <f>"431720220811102348242297"</f>
        <v>431720220811102348242297</v>
      </c>
      <c r="C2181" s="5" t="s">
        <v>28</v>
      </c>
      <c r="D2181" s="4" t="str">
        <f>"郭战胜"</f>
        <v>郭战胜</v>
      </c>
      <c r="E2181" s="4" t="str">
        <f t="shared" si="208"/>
        <v>男</v>
      </c>
    </row>
    <row r="2182" customHeight="1" spans="1:5">
      <c r="A2182" s="4">
        <v>2180</v>
      </c>
      <c r="B2182" s="4" t="str">
        <f>"431720220811112024242469"</f>
        <v>431720220811112024242469</v>
      </c>
      <c r="C2182" s="5" t="s">
        <v>28</v>
      </c>
      <c r="D2182" s="4" t="str">
        <f>"王丁旭"</f>
        <v>王丁旭</v>
      </c>
      <c r="E2182" s="4" t="str">
        <f t="shared" si="208"/>
        <v>男</v>
      </c>
    </row>
    <row r="2183" customHeight="1" spans="1:5">
      <c r="A2183" s="4">
        <v>2181</v>
      </c>
      <c r="B2183" s="4" t="str">
        <f>"431720220811123028242662"</f>
        <v>431720220811123028242662</v>
      </c>
      <c r="C2183" s="5" t="s">
        <v>28</v>
      </c>
      <c r="D2183" s="4" t="str">
        <f>"徐飞"</f>
        <v>徐飞</v>
      </c>
      <c r="E2183" s="4" t="str">
        <f t="shared" si="208"/>
        <v>男</v>
      </c>
    </row>
    <row r="2184" customHeight="1" spans="1:5">
      <c r="A2184" s="4">
        <v>2182</v>
      </c>
      <c r="B2184" s="4" t="str">
        <f>"431720220811134531242863"</f>
        <v>431720220811134531242863</v>
      </c>
      <c r="C2184" s="5" t="s">
        <v>28</v>
      </c>
      <c r="D2184" s="4" t="str">
        <f>"张潇"</f>
        <v>张潇</v>
      </c>
      <c r="E2184" s="4" t="str">
        <f t="shared" si="208"/>
        <v>男</v>
      </c>
    </row>
    <row r="2185" customHeight="1" spans="1:5">
      <c r="A2185" s="4">
        <v>2183</v>
      </c>
      <c r="B2185" s="4" t="str">
        <f>"431720220811140922242919"</f>
        <v>431720220811140922242919</v>
      </c>
      <c r="C2185" s="5" t="s">
        <v>28</v>
      </c>
      <c r="D2185" s="4" t="str">
        <f>"王树杰"</f>
        <v>王树杰</v>
      </c>
      <c r="E2185" s="4" t="str">
        <f t="shared" si="208"/>
        <v>男</v>
      </c>
    </row>
    <row r="2186" customHeight="1" spans="1:5">
      <c r="A2186" s="4">
        <v>2184</v>
      </c>
      <c r="B2186" s="4" t="str">
        <f>"431720220811170024243459"</f>
        <v>431720220811170024243459</v>
      </c>
      <c r="C2186" s="5" t="s">
        <v>28</v>
      </c>
      <c r="D2186" s="4" t="str">
        <f>"王仔俊"</f>
        <v>王仔俊</v>
      </c>
      <c r="E2186" s="4" t="str">
        <f t="shared" si="208"/>
        <v>男</v>
      </c>
    </row>
    <row r="2187" customHeight="1" spans="1:5">
      <c r="A2187" s="4">
        <v>2185</v>
      </c>
      <c r="B2187" s="4" t="str">
        <f>"431720220811202144243606"</f>
        <v>431720220811202144243606</v>
      </c>
      <c r="C2187" s="5" t="s">
        <v>28</v>
      </c>
      <c r="D2187" s="4" t="str">
        <f>"符可邓"</f>
        <v>符可邓</v>
      </c>
      <c r="E2187" s="4" t="str">
        <f t="shared" si="208"/>
        <v>男</v>
      </c>
    </row>
    <row r="2188" customHeight="1" spans="1:5">
      <c r="A2188" s="4">
        <v>2186</v>
      </c>
      <c r="B2188" s="4" t="str">
        <f>"431720220811211614243630"</f>
        <v>431720220811211614243630</v>
      </c>
      <c r="C2188" s="5" t="s">
        <v>28</v>
      </c>
      <c r="D2188" s="4" t="str">
        <f>"符繁厅"</f>
        <v>符繁厅</v>
      </c>
      <c r="E2188" s="4" t="str">
        <f t="shared" si="208"/>
        <v>男</v>
      </c>
    </row>
    <row r="2189" customHeight="1" spans="1:5">
      <c r="A2189" s="4">
        <v>2187</v>
      </c>
      <c r="B2189" s="4" t="str">
        <f>"431720220811233722243721"</f>
        <v>431720220811233722243721</v>
      </c>
      <c r="C2189" s="5" t="s">
        <v>28</v>
      </c>
      <c r="D2189" s="4" t="str">
        <f>"雷宇健"</f>
        <v>雷宇健</v>
      </c>
      <c r="E2189" s="4" t="str">
        <f t="shared" si="208"/>
        <v>男</v>
      </c>
    </row>
    <row r="2190" customHeight="1" spans="1:5">
      <c r="A2190" s="4">
        <v>2188</v>
      </c>
      <c r="B2190" s="4" t="str">
        <f>"431720220812111314244075"</f>
        <v>431720220812111314244075</v>
      </c>
      <c r="C2190" s="5" t="s">
        <v>28</v>
      </c>
      <c r="D2190" s="4" t="str">
        <f>"王康岛"</f>
        <v>王康岛</v>
      </c>
      <c r="E2190" s="4" t="str">
        <f t="shared" si="208"/>
        <v>男</v>
      </c>
    </row>
    <row r="2191" customHeight="1" spans="1:5">
      <c r="A2191" s="4">
        <v>2189</v>
      </c>
      <c r="B2191" s="4" t="str">
        <f>"431720220812120341244146"</f>
        <v>431720220812120341244146</v>
      </c>
      <c r="C2191" s="5" t="s">
        <v>28</v>
      </c>
      <c r="D2191" s="4" t="str">
        <f>"黄永钢"</f>
        <v>黄永钢</v>
      </c>
      <c r="E2191" s="4" t="str">
        <f t="shared" si="208"/>
        <v>男</v>
      </c>
    </row>
    <row r="2192" customHeight="1" spans="1:5">
      <c r="A2192" s="4">
        <v>2190</v>
      </c>
      <c r="B2192" s="4" t="str">
        <f>"431720220812130814244228"</f>
        <v>431720220812130814244228</v>
      </c>
      <c r="C2192" s="5" t="s">
        <v>28</v>
      </c>
      <c r="D2192" s="4" t="str">
        <f>"周凤重"</f>
        <v>周凤重</v>
      </c>
      <c r="E2192" s="4" t="str">
        <f t="shared" si="208"/>
        <v>男</v>
      </c>
    </row>
    <row r="2193" customHeight="1" spans="1:5">
      <c r="A2193" s="4">
        <v>2191</v>
      </c>
      <c r="B2193" s="4" t="str">
        <f>"431720220812131803244239"</f>
        <v>431720220812131803244239</v>
      </c>
      <c r="C2193" s="5" t="s">
        <v>28</v>
      </c>
      <c r="D2193" s="4" t="str">
        <f>"何世安"</f>
        <v>何世安</v>
      </c>
      <c r="E2193" s="4" t="str">
        <f t="shared" si="208"/>
        <v>男</v>
      </c>
    </row>
    <row r="2194" customHeight="1" spans="1:5">
      <c r="A2194" s="4">
        <v>2192</v>
      </c>
      <c r="B2194" s="4" t="str">
        <f>"431720220812135012244269"</f>
        <v>431720220812135012244269</v>
      </c>
      <c r="C2194" s="5" t="s">
        <v>28</v>
      </c>
      <c r="D2194" s="4" t="str">
        <f>"黄晨宏"</f>
        <v>黄晨宏</v>
      </c>
      <c r="E2194" s="4" t="str">
        <f t="shared" si="208"/>
        <v>男</v>
      </c>
    </row>
    <row r="2195" customHeight="1" spans="1:5">
      <c r="A2195" s="4">
        <v>2193</v>
      </c>
      <c r="B2195" s="4" t="str">
        <f>"431720220812153949244396"</f>
        <v>431720220812153949244396</v>
      </c>
      <c r="C2195" s="5" t="s">
        <v>28</v>
      </c>
      <c r="D2195" s="4" t="str">
        <f>"李经纪"</f>
        <v>李经纪</v>
      </c>
      <c r="E2195" s="4" t="str">
        <f t="shared" si="208"/>
        <v>男</v>
      </c>
    </row>
    <row r="2196" customHeight="1" spans="1:5">
      <c r="A2196" s="4">
        <v>2194</v>
      </c>
      <c r="B2196" s="4" t="str">
        <f>"431720220812154300244403"</f>
        <v>431720220812154300244403</v>
      </c>
      <c r="C2196" s="5" t="s">
        <v>28</v>
      </c>
      <c r="D2196" s="4" t="str">
        <f>"符永达"</f>
        <v>符永达</v>
      </c>
      <c r="E2196" s="4" t="str">
        <f t="shared" si="208"/>
        <v>男</v>
      </c>
    </row>
    <row r="2197" customHeight="1" spans="1:5">
      <c r="A2197" s="4">
        <v>2195</v>
      </c>
      <c r="B2197" s="4" t="str">
        <f>"431720220806093335231286"</f>
        <v>431720220806093335231286</v>
      </c>
      <c r="C2197" s="5" t="s">
        <v>29</v>
      </c>
      <c r="D2197" s="4" t="str">
        <f>"许林越"</f>
        <v>许林越</v>
      </c>
      <c r="E2197" s="4" t="str">
        <f t="shared" ref="E2197:E2210" si="209">"女"</f>
        <v>女</v>
      </c>
    </row>
    <row r="2198" customHeight="1" spans="1:5">
      <c r="A2198" s="4">
        <v>2196</v>
      </c>
      <c r="B2198" s="4" t="str">
        <f>"431720220806104838231531"</f>
        <v>431720220806104838231531</v>
      </c>
      <c r="C2198" s="5" t="s">
        <v>29</v>
      </c>
      <c r="D2198" s="4" t="str">
        <f>"李美琼"</f>
        <v>李美琼</v>
      </c>
      <c r="E2198" s="4" t="str">
        <f t="shared" si="209"/>
        <v>女</v>
      </c>
    </row>
    <row r="2199" customHeight="1" spans="1:5">
      <c r="A2199" s="4">
        <v>2197</v>
      </c>
      <c r="B2199" s="4" t="str">
        <f>"431720220806110323231571"</f>
        <v>431720220806110323231571</v>
      </c>
      <c r="C2199" s="5" t="s">
        <v>29</v>
      </c>
      <c r="D2199" s="4" t="str">
        <f>"林琳"</f>
        <v>林琳</v>
      </c>
      <c r="E2199" s="4" t="str">
        <f t="shared" si="209"/>
        <v>女</v>
      </c>
    </row>
    <row r="2200" customHeight="1" spans="1:5">
      <c r="A2200" s="4">
        <v>2198</v>
      </c>
      <c r="B2200" s="4" t="str">
        <f>"431720220806120558231771"</f>
        <v>431720220806120558231771</v>
      </c>
      <c r="C2200" s="5" t="s">
        <v>29</v>
      </c>
      <c r="D2200" s="4" t="str">
        <f>"何茹"</f>
        <v>何茹</v>
      </c>
      <c r="E2200" s="4" t="str">
        <f t="shared" si="209"/>
        <v>女</v>
      </c>
    </row>
    <row r="2201" customHeight="1" spans="1:5">
      <c r="A2201" s="4">
        <v>2199</v>
      </c>
      <c r="B2201" s="4" t="str">
        <f>"431720220806125616231905"</f>
        <v>431720220806125616231905</v>
      </c>
      <c r="C2201" s="5" t="s">
        <v>29</v>
      </c>
      <c r="D2201" s="4" t="str">
        <f>"苏肖月"</f>
        <v>苏肖月</v>
      </c>
      <c r="E2201" s="4" t="str">
        <f t="shared" si="209"/>
        <v>女</v>
      </c>
    </row>
    <row r="2202" customHeight="1" spans="1:5">
      <c r="A2202" s="4">
        <v>2200</v>
      </c>
      <c r="B2202" s="4" t="str">
        <f>"431720220806131102231950"</f>
        <v>431720220806131102231950</v>
      </c>
      <c r="C2202" s="5" t="s">
        <v>29</v>
      </c>
      <c r="D2202" s="4" t="str">
        <f>"肖梦洁"</f>
        <v>肖梦洁</v>
      </c>
      <c r="E2202" s="4" t="str">
        <f t="shared" si="209"/>
        <v>女</v>
      </c>
    </row>
    <row r="2203" customHeight="1" spans="1:5">
      <c r="A2203" s="4">
        <v>2201</v>
      </c>
      <c r="B2203" s="4" t="str">
        <f>"431720220806150730232191"</f>
        <v>431720220806150730232191</v>
      </c>
      <c r="C2203" s="5" t="s">
        <v>29</v>
      </c>
      <c r="D2203" s="4" t="str">
        <f>"王琼叶"</f>
        <v>王琼叶</v>
      </c>
      <c r="E2203" s="4" t="str">
        <f t="shared" si="209"/>
        <v>女</v>
      </c>
    </row>
    <row r="2204" customHeight="1" spans="1:5">
      <c r="A2204" s="4">
        <v>2202</v>
      </c>
      <c r="B2204" s="4" t="str">
        <f>"431720220806164048232392"</f>
        <v>431720220806164048232392</v>
      </c>
      <c r="C2204" s="5" t="s">
        <v>29</v>
      </c>
      <c r="D2204" s="4" t="str">
        <f>"郑玉滢"</f>
        <v>郑玉滢</v>
      </c>
      <c r="E2204" s="4" t="str">
        <f t="shared" si="209"/>
        <v>女</v>
      </c>
    </row>
    <row r="2205" customHeight="1" spans="1:5">
      <c r="A2205" s="4">
        <v>2203</v>
      </c>
      <c r="B2205" s="4" t="str">
        <f>"431720220806171512232452"</f>
        <v>431720220806171512232452</v>
      </c>
      <c r="C2205" s="5" t="s">
        <v>29</v>
      </c>
      <c r="D2205" s="4" t="str">
        <f>"陈春如"</f>
        <v>陈春如</v>
      </c>
      <c r="E2205" s="4" t="str">
        <f t="shared" si="209"/>
        <v>女</v>
      </c>
    </row>
    <row r="2206" customHeight="1" spans="1:5">
      <c r="A2206" s="4">
        <v>2204</v>
      </c>
      <c r="B2206" s="4" t="str">
        <f>"431720220806172043232463"</f>
        <v>431720220806172043232463</v>
      </c>
      <c r="C2206" s="5" t="s">
        <v>29</v>
      </c>
      <c r="D2206" s="4" t="str">
        <f>"邱文倩"</f>
        <v>邱文倩</v>
      </c>
      <c r="E2206" s="4" t="str">
        <f t="shared" si="209"/>
        <v>女</v>
      </c>
    </row>
    <row r="2207" customHeight="1" spans="1:5">
      <c r="A2207" s="4">
        <v>2205</v>
      </c>
      <c r="B2207" s="4" t="str">
        <f>"431720220806182237232553"</f>
        <v>431720220806182237232553</v>
      </c>
      <c r="C2207" s="5" t="s">
        <v>29</v>
      </c>
      <c r="D2207" s="4" t="str">
        <f>"王一桔"</f>
        <v>王一桔</v>
      </c>
      <c r="E2207" s="4" t="str">
        <f t="shared" si="209"/>
        <v>女</v>
      </c>
    </row>
    <row r="2208" customHeight="1" spans="1:5">
      <c r="A2208" s="4">
        <v>2206</v>
      </c>
      <c r="B2208" s="4" t="str">
        <f>"431720220806200135232658"</f>
        <v>431720220806200135232658</v>
      </c>
      <c r="C2208" s="5" t="s">
        <v>29</v>
      </c>
      <c r="D2208" s="4" t="str">
        <f>"符乃凤"</f>
        <v>符乃凤</v>
      </c>
      <c r="E2208" s="4" t="str">
        <f t="shared" si="209"/>
        <v>女</v>
      </c>
    </row>
    <row r="2209" customHeight="1" spans="1:5">
      <c r="A2209" s="4">
        <v>2207</v>
      </c>
      <c r="B2209" s="4" t="str">
        <f>"431720220806220822232796"</f>
        <v>431720220806220822232796</v>
      </c>
      <c r="C2209" s="5" t="s">
        <v>29</v>
      </c>
      <c r="D2209" s="4" t="str">
        <f>"王明颖"</f>
        <v>王明颖</v>
      </c>
      <c r="E2209" s="4" t="str">
        <f t="shared" si="209"/>
        <v>女</v>
      </c>
    </row>
    <row r="2210" customHeight="1" spans="1:5">
      <c r="A2210" s="4">
        <v>2208</v>
      </c>
      <c r="B2210" s="4" t="str">
        <f>"431720220806223903232822"</f>
        <v>431720220806223903232822</v>
      </c>
      <c r="C2210" s="5" t="s">
        <v>29</v>
      </c>
      <c r="D2210" s="4" t="str">
        <f>"陈保金"</f>
        <v>陈保金</v>
      </c>
      <c r="E2210" s="4" t="str">
        <f t="shared" si="209"/>
        <v>女</v>
      </c>
    </row>
    <row r="2211" customHeight="1" spans="1:5">
      <c r="A2211" s="4">
        <v>2209</v>
      </c>
      <c r="B2211" s="4" t="str">
        <f>"431720220807062251232901"</f>
        <v>431720220807062251232901</v>
      </c>
      <c r="C2211" s="5" t="s">
        <v>29</v>
      </c>
      <c r="D2211" s="4" t="str">
        <f>"王琼辉"</f>
        <v>王琼辉</v>
      </c>
      <c r="E2211" s="4" t="str">
        <f>"男"</f>
        <v>男</v>
      </c>
    </row>
    <row r="2212" customHeight="1" spans="1:5">
      <c r="A2212" s="4">
        <v>2210</v>
      </c>
      <c r="B2212" s="4" t="str">
        <f>"431720220807105556233067"</f>
        <v>431720220807105556233067</v>
      </c>
      <c r="C2212" s="5" t="s">
        <v>29</v>
      </c>
      <c r="D2212" s="4" t="str">
        <f>"谭湘怡"</f>
        <v>谭湘怡</v>
      </c>
      <c r="E2212" s="4" t="str">
        <f t="shared" ref="E2212:E2253" si="210">"女"</f>
        <v>女</v>
      </c>
    </row>
    <row r="2213" customHeight="1" spans="1:5">
      <c r="A2213" s="4">
        <v>2211</v>
      </c>
      <c r="B2213" s="4" t="str">
        <f>"431720220807114206233103"</f>
        <v>431720220807114206233103</v>
      </c>
      <c r="C2213" s="5" t="s">
        <v>29</v>
      </c>
      <c r="D2213" s="4" t="str">
        <f>"陈妙茵"</f>
        <v>陈妙茵</v>
      </c>
      <c r="E2213" s="4" t="str">
        <f t="shared" si="210"/>
        <v>女</v>
      </c>
    </row>
    <row r="2214" customHeight="1" spans="1:5">
      <c r="A2214" s="4">
        <v>2212</v>
      </c>
      <c r="B2214" s="4" t="str">
        <f>"431720220807115911233125"</f>
        <v>431720220807115911233125</v>
      </c>
      <c r="C2214" s="5" t="s">
        <v>29</v>
      </c>
      <c r="D2214" s="4" t="str">
        <f>"陈玉丹"</f>
        <v>陈玉丹</v>
      </c>
      <c r="E2214" s="4" t="str">
        <f t="shared" si="210"/>
        <v>女</v>
      </c>
    </row>
    <row r="2215" customHeight="1" spans="1:5">
      <c r="A2215" s="4">
        <v>2213</v>
      </c>
      <c r="B2215" s="4" t="str">
        <f>"431720220807143712233271"</f>
        <v>431720220807143712233271</v>
      </c>
      <c r="C2215" s="5" t="s">
        <v>29</v>
      </c>
      <c r="D2215" s="4" t="str">
        <f>"郑桂容"</f>
        <v>郑桂容</v>
      </c>
      <c r="E2215" s="4" t="str">
        <f t="shared" si="210"/>
        <v>女</v>
      </c>
    </row>
    <row r="2216" customHeight="1" spans="1:5">
      <c r="A2216" s="4">
        <v>2214</v>
      </c>
      <c r="B2216" s="4" t="str">
        <f>"431720220807150501233288"</f>
        <v>431720220807150501233288</v>
      </c>
      <c r="C2216" s="5" t="s">
        <v>29</v>
      </c>
      <c r="D2216" s="4" t="str">
        <f>"龙滢"</f>
        <v>龙滢</v>
      </c>
      <c r="E2216" s="4" t="str">
        <f t="shared" si="210"/>
        <v>女</v>
      </c>
    </row>
    <row r="2217" customHeight="1" spans="1:5">
      <c r="A2217" s="4">
        <v>2215</v>
      </c>
      <c r="B2217" s="4" t="str">
        <f>"431720220807151848233310"</f>
        <v>431720220807151848233310</v>
      </c>
      <c r="C2217" s="5" t="s">
        <v>29</v>
      </c>
      <c r="D2217" s="4" t="str">
        <f>"冯心娣"</f>
        <v>冯心娣</v>
      </c>
      <c r="E2217" s="4" t="str">
        <f t="shared" si="210"/>
        <v>女</v>
      </c>
    </row>
    <row r="2218" customHeight="1" spans="1:5">
      <c r="A2218" s="4">
        <v>2216</v>
      </c>
      <c r="B2218" s="4" t="str">
        <f>"431720220808112641234926"</f>
        <v>431720220808112641234926</v>
      </c>
      <c r="C2218" s="5" t="s">
        <v>29</v>
      </c>
      <c r="D2218" s="4" t="str">
        <f>"冯春圆"</f>
        <v>冯春圆</v>
      </c>
      <c r="E2218" s="4" t="str">
        <f t="shared" si="210"/>
        <v>女</v>
      </c>
    </row>
    <row r="2219" customHeight="1" spans="1:5">
      <c r="A2219" s="4">
        <v>2217</v>
      </c>
      <c r="B2219" s="4" t="str">
        <f>"431720220808122559235153"</f>
        <v>431720220808122559235153</v>
      </c>
      <c r="C2219" s="5" t="s">
        <v>29</v>
      </c>
      <c r="D2219" s="4" t="str">
        <f>"符传慧"</f>
        <v>符传慧</v>
      </c>
      <c r="E2219" s="4" t="str">
        <f t="shared" si="210"/>
        <v>女</v>
      </c>
    </row>
    <row r="2220" customHeight="1" spans="1:5">
      <c r="A2220" s="4">
        <v>2218</v>
      </c>
      <c r="B2220" s="4" t="str">
        <f>"431720220808124406235215"</f>
        <v>431720220808124406235215</v>
      </c>
      <c r="C2220" s="5" t="s">
        <v>29</v>
      </c>
      <c r="D2220" s="4" t="str">
        <f>"王海燕"</f>
        <v>王海燕</v>
      </c>
      <c r="E2220" s="4" t="str">
        <f t="shared" si="210"/>
        <v>女</v>
      </c>
    </row>
    <row r="2221" customHeight="1" spans="1:5">
      <c r="A2221" s="4">
        <v>2219</v>
      </c>
      <c r="B2221" s="4" t="str">
        <f>"431720220808131737235330"</f>
        <v>431720220808131737235330</v>
      </c>
      <c r="C2221" s="5" t="s">
        <v>29</v>
      </c>
      <c r="D2221" s="4" t="str">
        <f>"林春莲"</f>
        <v>林春莲</v>
      </c>
      <c r="E2221" s="4" t="str">
        <f t="shared" si="210"/>
        <v>女</v>
      </c>
    </row>
    <row r="2222" customHeight="1" spans="1:5">
      <c r="A2222" s="4">
        <v>2220</v>
      </c>
      <c r="B2222" s="4" t="str">
        <f>"431720220808152114235661"</f>
        <v>431720220808152114235661</v>
      </c>
      <c r="C2222" s="5" t="s">
        <v>29</v>
      </c>
      <c r="D2222" s="4" t="str">
        <f>"周美满"</f>
        <v>周美满</v>
      </c>
      <c r="E2222" s="4" t="str">
        <f t="shared" si="210"/>
        <v>女</v>
      </c>
    </row>
    <row r="2223" customHeight="1" spans="1:5">
      <c r="A2223" s="4">
        <v>2221</v>
      </c>
      <c r="B2223" s="4" t="str">
        <f>"431720220808163611235918"</f>
        <v>431720220808163611235918</v>
      </c>
      <c r="C2223" s="5" t="s">
        <v>29</v>
      </c>
      <c r="D2223" s="4" t="str">
        <f>"钟乐燕"</f>
        <v>钟乐燕</v>
      </c>
      <c r="E2223" s="4" t="str">
        <f t="shared" si="210"/>
        <v>女</v>
      </c>
    </row>
    <row r="2224" customHeight="1" spans="1:5">
      <c r="A2224" s="4">
        <v>2222</v>
      </c>
      <c r="B2224" s="4" t="str">
        <f>"431720220808192305236385"</f>
        <v>431720220808192305236385</v>
      </c>
      <c r="C2224" s="5" t="s">
        <v>29</v>
      </c>
      <c r="D2224" s="4" t="str">
        <f>"王英"</f>
        <v>王英</v>
      </c>
      <c r="E2224" s="4" t="str">
        <f t="shared" si="210"/>
        <v>女</v>
      </c>
    </row>
    <row r="2225" customHeight="1" spans="1:5">
      <c r="A2225" s="4">
        <v>2223</v>
      </c>
      <c r="B2225" s="4" t="str">
        <f>"431720220808205946236615"</f>
        <v>431720220808205946236615</v>
      </c>
      <c r="C2225" s="5" t="s">
        <v>29</v>
      </c>
      <c r="D2225" s="4" t="str">
        <f>"冯婷"</f>
        <v>冯婷</v>
      </c>
      <c r="E2225" s="4" t="str">
        <f t="shared" si="210"/>
        <v>女</v>
      </c>
    </row>
    <row r="2226" customHeight="1" spans="1:5">
      <c r="A2226" s="4">
        <v>2224</v>
      </c>
      <c r="B2226" s="4" t="str">
        <f>"431720220809100308237372"</f>
        <v>431720220809100308237372</v>
      </c>
      <c r="C2226" s="5" t="s">
        <v>29</v>
      </c>
      <c r="D2226" s="4" t="str">
        <f>"钟丽玲"</f>
        <v>钟丽玲</v>
      </c>
      <c r="E2226" s="4" t="str">
        <f t="shared" si="210"/>
        <v>女</v>
      </c>
    </row>
    <row r="2227" customHeight="1" spans="1:5">
      <c r="A2227" s="4">
        <v>2225</v>
      </c>
      <c r="B2227" s="4" t="str">
        <f>"431720220809101521237410"</f>
        <v>431720220809101521237410</v>
      </c>
      <c r="C2227" s="5" t="s">
        <v>29</v>
      </c>
      <c r="D2227" s="4" t="str">
        <f>"王素映"</f>
        <v>王素映</v>
      </c>
      <c r="E2227" s="4" t="str">
        <f t="shared" si="210"/>
        <v>女</v>
      </c>
    </row>
    <row r="2228" customHeight="1" spans="1:5">
      <c r="A2228" s="4">
        <v>2226</v>
      </c>
      <c r="B2228" s="4" t="str">
        <f>"431720220809110653237588"</f>
        <v>431720220809110653237588</v>
      </c>
      <c r="C2228" s="5" t="s">
        <v>29</v>
      </c>
      <c r="D2228" s="4" t="str">
        <f>"唐俊婧"</f>
        <v>唐俊婧</v>
      </c>
      <c r="E2228" s="4" t="str">
        <f t="shared" si="210"/>
        <v>女</v>
      </c>
    </row>
    <row r="2229" customHeight="1" spans="1:5">
      <c r="A2229" s="4">
        <v>2227</v>
      </c>
      <c r="B2229" s="4" t="str">
        <f>"431720220809121958237760"</f>
        <v>431720220809121958237760</v>
      </c>
      <c r="C2229" s="5" t="s">
        <v>29</v>
      </c>
      <c r="D2229" s="4" t="str">
        <f>"符滢洁"</f>
        <v>符滢洁</v>
      </c>
      <c r="E2229" s="4" t="str">
        <f t="shared" si="210"/>
        <v>女</v>
      </c>
    </row>
    <row r="2230" customHeight="1" spans="1:5">
      <c r="A2230" s="4">
        <v>2228</v>
      </c>
      <c r="B2230" s="4" t="str">
        <f>"431720220809143618238048"</f>
        <v>431720220809143618238048</v>
      </c>
      <c r="C2230" s="5" t="s">
        <v>29</v>
      </c>
      <c r="D2230" s="4" t="str">
        <f>"黎逢彩"</f>
        <v>黎逢彩</v>
      </c>
      <c r="E2230" s="4" t="str">
        <f t="shared" si="210"/>
        <v>女</v>
      </c>
    </row>
    <row r="2231" customHeight="1" spans="1:5">
      <c r="A2231" s="4">
        <v>2229</v>
      </c>
      <c r="B2231" s="4" t="str">
        <f>"431720220809145615238099"</f>
        <v>431720220809145615238099</v>
      </c>
      <c r="C2231" s="5" t="s">
        <v>29</v>
      </c>
      <c r="D2231" s="4" t="str">
        <f>"王媚婷"</f>
        <v>王媚婷</v>
      </c>
      <c r="E2231" s="4" t="str">
        <f t="shared" si="210"/>
        <v>女</v>
      </c>
    </row>
    <row r="2232" customHeight="1" spans="1:5">
      <c r="A2232" s="4">
        <v>2230</v>
      </c>
      <c r="B2232" s="4" t="str">
        <f>"431720220809161814238311"</f>
        <v>431720220809161814238311</v>
      </c>
      <c r="C2232" s="5" t="s">
        <v>29</v>
      </c>
      <c r="D2232" s="4" t="str">
        <f>"郭国莲"</f>
        <v>郭国莲</v>
      </c>
      <c r="E2232" s="4" t="str">
        <f t="shared" si="210"/>
        <v>女</v>
      </c>
    </row>
    <row r="2233" customHeight="1" spans="1:5">
      <c r="A2233" s="4">
        <v>2231</v>
      </c>
      <c r="B2233" s="4" t="str">
        <f>"431720220809180727238534"</f>
        <v>431720220809180727238534</v>
      </c>
      <c r="C2233" s="5" t="s">
        <v>29</v>
      </c>
      <c r="D2233" s="4" t="str">
        <f>"林嘉菲"</f>
        <v>林嘉菲</v>
      </c>
      <c r="E2233" s="4" t="str">
        <f t="shared" si="210"/>
        <v>女</v>
      </c>
    </row>
    <row r="2234" customHeight="1" spans="1:5">
      <c r="A2234" s="4">
        <v>2232</v>
      </c>
      <c r="B2234" s="4" t="str">
        <f>"431720220809203626238805"</f>
        <v>431720220809203626238805</v>
      </c>
      <c r="C2234" s="5" t="s">
        <v>29</v>
      </c>
      <c r="D2234" s="4" t="str">
        <f>"吴兰英"</f>
        <v>吴兰英</v>
      </c>
      <c r="E2234" s="4" t="str">
        <f t="shared" si="210"/>
        <v>女</v>
      </c>
    </row>
    <row r="2235" customHeight="1" spans="1:5">
      <c r="A2235" s="4">
        <v>2233</v>
      </c>
      <c r="B2235" s="4" t="str">
        <f>"431720220809213815238934"</f>
        <v>431720220809213815238934</v>
      </c>
      <c r="C2235" s="5" t="s">
        <v>29</v>
      </c>
      <c r="D2235" s="4" t="str">
        <f>"张小净"</f>
        <v>张小净</v>
      </c>
      <c r="E2235" s="4" t="str">
        <f t="shared" si="210"/>
        <v>女</v>
      </c>
    </row>
    <row r="2236" customHeight="1" spans="1:5">
      <c r="A2236" s="4">
        <v>2234</v>
      </c>
      <c r="B2236" s="4" t="str">
        <f>"431720220810101605239681"</f>
        <v>431720220810101605239681</v>
      </c>
      <c r="C2236" s="5" t="s">
        <v>29</v>
      </c>
      <c r="D2236" s="4" t="str">
        <f>"王佳琦"</f>
        <v>王佳琦</v>
      </c>
      <c r="E2236" s="4" t="str">
        <f t="shared" si="210"/>
        <v>女</v>
      </c>
    </row>
    <row r="2237" customHeight="1" spans="1:5">
      <c r="A2237" s="4">
        <v>2235</v>
      </c>
      <c r="B2237" s="4" t="str">
        <f>"431720220810122129240066"</f>
        <v>431720220810122129240066</v>
      </c>
      <c r="C2237" s="5" t="s">
        <v>29</v>
      </c>
      <c r="D2237" s="4" t="str">
        <f>"陈源霞"</f>
        <v>陈源霞</v>
      </c>
      <c r="E2237" s="4" t="str">
        <f t="shared" si="210"/>
        <v>女</v>
      </c>
    </row>
    <row r="2238" customHeight="1" spans="1:5">
      <c r="A2238" s="4">
        <v>2236</v>
      </c>
      <c r="B2238" s="4" t="str">
        <f>"431720220810212114241456"</f>
        <v>431720220810212114241456</v>
      </c>
      <c r="C2238" s="5" t="s">
        <v>29</v>
      </c>
      <c r="D2238" s="4" t="str">
        <f>"祁海球"</f>
        <v>祁海球</v>
      </c>
      <c r="E2238" s="4" t="str">
        <f t="shared" si="210"/>
        <v>女</v>
      </c>
    </row>
    <row r="2239" customHeight="1" spans="1:5">
      <c r="A2239" s="4">
        <v>2237</v>
      </c>
      <c r="B2239" s="4" t="str">
        <f>"431720220810220852241586"</f>
        <v>431720220810220852241586</v>
      </c>
      <c r="C2239" s="5" t="s">
        <v>29</v>
      </c>
      <c r="D2239" s="4" t="str">
        <f>"郑荣英"</f>
        <v>郑荣英</v>
      </c>
      <c r="E2239" s="4" t="str">
        <f t="shared" si="210"/>
        <v>女</v>
      </c>
    </row>
    <row r="2240" customHeight="1" spans="1:5">
      <c r="A2240" s="4">
        <v>2238</v>
      </c>
      <c r="B2240" s="4" t="str">
        <f>"431720220810223121241632"</f>
        <v>431720220810223121241632</v>
      </c>
      <c r="C2240" s="5" t="s">
        <v>29</v>
      </c>
      <c r="D2240" s="4" t="str">
        <f>"王玉銮"</f>
        <v>王玉銮</v>
      </c>
      <c r="E2240" s="4" t="str">
        <f t="shared" si="210"/>
        <v>女</v>
      </c>
    </row>
    <row r="2241" customHeight="1" spans="1:5">
      <c r="A2241" s="4">
        <v>2239</v>
      </c>
      <c r="B2241" s="4" t="str">
        <f>"431720220810224345241656"</f>
        <v>431720220810224345241656</v>
      </c>
      <c r="C2241" s="5" t="s">
        <v>29</v>
      </c>
      <c r="D2241" s="4" t="str">
        <f>"王旖旎"</f>
        <v>王旖旎</v>
      </c>
      <c r="E2241" s="4" t="str">
        <f t="shared" si="210"/>
        <v>女</v>
      </c>
    </row>
    <row r="2242" customHeight="1" spans="1:5">
      <c r="A2242" s="4">
        <v>2240</v>
      </c>
      <c r="B2242" s="4" t="str">
        <f>"431720220811115919242569"</f>
        <v>431720220811115919242569</v>
      </c>
      <c r="C2242" s="5" t="s">
        <v>29</v>
      </c>
      <c r="D2242" s="4" t="str">
        <f>"陆慧林"</f>
        <v>陆慧林</v>
      </c>
      <c r="E2242" s="4" t="str">
        <f t="shared" si="210"/>
        <v>女</v>
      </c>
    </row>
    <row r="2243" customHeight="1" spans="1:5">
      <c r="A2243" s="4">
        <v>2241</v>
      </c>
      <c r="B2243" s="4" t="str">
        <f>"431720220811150614243095"</f>
        <v>431720220811150614243095</v>
      </c>
      <c r="C2243" s="5" t="s">
        <v>29</v>
      </c>
      <c r="D2243" s="4" t="str">
        <f>"何春兰"</f>
        <v>何春兰</v>
      </c>
      <c r="E2243" s="4" t="str">
        <f t="shared" si="210"/>
        <v>女</v>
      </c>
    </row>
    <row r="2244" customHeight="1" spans="1:5">
      <c r="A2244" s="4">
        <v>2242</v>
      </c>
      <c r="B2244" s="4" t="str">
        <f>"431720220811153727243214"</f>
        <v>431720220811153727243214</v>
      </c>
      <c r="C2244" s="5" t="s">
        <v>29</v>
      </c>
      <c r="D2244" s="4" t="str">
        <f>"卓悦"</f>
        <v>卓悦</v>
      </c>
      <c r="E2244" s="4" t="str">
        <f t="shared" si="210"/>
        <v>女</v>
      </c>
    </row>
    <row r="2245" customHeight="1" spans="1:5">
      <c r="A2245" s="4">
        <v>2243</v>
      </c>
      <c r="B2245" s="4" t="str">
        <f>"431720220811173028243509"</f>
        <v>431720220811173028243509</v>
      </c>
      <c r="C2245" s="5" t="s">
        <v>29</v>
      </c>
      <c r="D2245" s="4" t="str">
        <f>"徐英娜"</f>
        <v>徐英娜</v>
      </c>
      <c r="E2245" s="4" t="str">
        <f t="shared" si="210"/>
        <v>女</v>
      </c>
    </row>
    <row r="2246" customHeight="1" spans="1:5">
      <c r="A2246" s="4">
        <v>2244</v>
      </c>
      <c r="B2246" s="4" t="str">
        <f>"431720220811191923243570"</f>
        <v>431720220811191923243570</v>
      </c>
      <c r="C2246" s="5" t="s">
        <v>29</v>
      </c>
      <c r="D2246" s="4" t="str">
        <f>"潘玉华"</f>
        <v>潘玉华</v>
      </c>
      <c r="E2246" s="4" t="str">
        <f t="shared" si="210"/>
        <v>女</v>
      </c>
    </row>
    <row r="2247" customHeight="1" spans="1:5">
      <c r="A2247" s="4">
        <v>2245</v>
      </c>
      <c r="B2247" s="4" t="str">
        <f>"431720220811221210243670"</f>
        <v>431720220811221210243670</v>
      </c>
      <c r="C2247" s="5" t="s">
        <v>29</v>
      </c>
      <c r="D2247" s="4" t="str">
        <f>"莫妍琪"</f>
        <v>莫妍琪</v>
      </c>
      <c r="E2247" s="4" t="str">
        <f t="shared" si="210"/>
        <v>女</v>
      </c>
    </row>
    <row r="2248" customHeight="1" spans="1:5">
      <c r="A2248" s="4">
        <v>2246</v>
      </c>
      <c r="B2248" s="4" t="str">
        <f>"431720220812091232243842"</f>
        <v>431720220812091232243842</v>
      </c>
      <c r="C2248" s="5" t="s">
        <v>29</v>
      </c>
      <c r="D2248" s="4" t="str">
        <f>"陈燕繁"</f>
        <v>陈燕繁</v>
      </c>
      <c r="E2248" s="4" t="str">
        <f t="shared" si="210"/>
        <v>女</v>
      </c>
    </row>
    <row r="2249" customHeight="1" spans="1:5">
      <c r="A2249" s="4">
        <v>2247</v>
      </c>
      <c r="B2249" s="4" t="str">
        <f>"431720220812112750244097"</f>
        <v>431720220812112750244097</v>
      </c>
      <c r="C2249" s="5" t="s">
        <v>29</v>
      </c>
      <c r="D2249" s="4" t="str">
        <f>"王雅榕"</f>
        <v>王雅榕</v>
      </c>
      <c r="E2249" s="4" t="str">
        <f t="shared" si="210"/>
        <v>女</v>
      </c>
    </row>
    <row r="2250" customHeight="1" spans="1:5">
      <c r="A2250" s="4">
        <v>2248</v>
      </c>
      <c r="B2250" s="4" t="str">
        <f>"431720220812133355244253"</f>
        <v>431720220812133355244253</v>
      </c>
      <c r="C2250" s="5" t="s">
        <v>29</v>
      </c>
      <c r="D2250" s="4" t="str">
        <f>"王涵"</f>
        <v>王涵</v>
      </c>
      <c r="E2250" s="4" t="str">
        <f t="shared" si="210"/>
        <v>女</v>
      </c>
    </row>
    <row r="2251" customHeight="1" spans="1:5">
      <c r="A2251" s="4">
        <v>2249</v>
      </c>
      <c r="B2251" s="4" t="str">
        <f>"431720220806110743231586"</f>
        <v>431720220806110743231586</v>
      </c>
      <c r="C2251" s="5" t="s">
        <v>30</v>
      </c>
      <c r="D2251" s="4" t="str">
        <f>"林小欢"</f>
        <v>林小欢</v>
      </c>
      <c r="E2251" s="4" t="str">
        <f t="shared" si="210"/>
        <v>女</v>
      </c>
    </row>
    <row r="2252" customHeight="1" spans="1:5">
      <c r="A2252" s="4">
        <v>2250</v>
      </c>
      <c r="B2252" s="4" t="str">
        <f>"431720220806111800231627"</f>
        <v>431720220806111800231627</v>
      </c>
      <c r="C2252" s="5" t="s">
        <v>30</v>
      </c>
      <c r="D2252" s="4" t="str">
        <f>"王靖"</f>
        <v>王靖</v>
      </c>
      <c r="E2252" s="4" t="str">
        <f t="shared" si="210"/>
        <v>女</v>
      </c>
    </row>
    <row r="2253" customHeight="1" spans="1:5">
      <c r="A2253" s="4">
        <v>2251</v>
      </c>
      <c r="B2253" s="4" t="str">
        <f>"431720220808174356236136"</f>
        <v>431720220808174356236136</v>
      </c>
      <c r="C2253" s="5" t="s">
        <v>30</v>
      </c>
      <c r="D2253" s="4" t="str">
        <f>"王燕华"</f>
        <v>王燕华</v>
      </c>
      <c r="E2253" s="4" t="str">
        <f t="shared" si="210"/>
        <v>女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冰冰</cp:lastModifiedBy>
  <dcterms:created xsi:type="dcterms:W3CDTF">2022-10-19T08:59:00Z</dcterms:created>
  <dcterms:modified xsi:type="dcterms:W3CDTF">2022-10-19T09:10:06Z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947CAEE9DBDA4FE4B099609A250EF7BA</vt:lpwstr>
  </property>
  <property fmtid="{D5CDD505-2E9C-101B-9397-08002B2CF9AE}" pid="3" name="KSOProductBuildVer">
    <vt:lpwstr>2052-11.1.0.12598</vt:lpwstr>
  </property>
</Properties>
</file>